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910" activeTab="0"/>
  </bookViews>
  <sheets>
    <sheet name="FY 23-24" sheetId="1" r:id="rId1"/>
    <sheet name="FY 22-23" sheetId="2" r:id="rId2"/>
    <sheet name="FY 21-22" sheetId="3" r:id="rId3"/>
    <sheet name="FY 20-21" sheetId="4" r:id="rId4"/>
    <sheet name="FY 19-20" sheetId="5" r:id="rId5"/>
    <sheet name="FY 18-19" sheetId="6" r:id="rId6"/>
    <sheet name="FY 17-18" sheetId="7" r:id="rId7"/>
    <sheet name="FY 16-17" sheetId="8" r:id="rId8"/>
    <sheet name="FY 15-16" sheetId="9" r:id="rId9"/>
    <sheet name="FY 14-15" sheetId="10" r:id="rId10"/>
    <sheet name="FY 13-14" sheetId="11" r:id="rId11"/>
    <sheet name="FY 12-13" sheetId="12" r:id="rId12"/>
    <sheet name="FY 11-12" sheetId="13" r:id="rId13"/>
    <sheet name="FY 10-11" sheetId="14" r:id="rId14"/>
    <sheet name="FY 09-10" sheetId="15" r:id="rId15"/>
    <sheet name="FY 08-09" sheetId="16" r:id="rId16"/>
    <sheet name="FY 07-08" sheetId="17" r:id="rId17"/>
    <sheet name="FY 06-07" sheetId="18" r:id="rId18"/>
  </sheets>
  <definedNames>
    <definedName name="_xlfn.IFERROR" hidden="1">#NAME?</definedName>
    <definedName name="_xlnm.Print_Area" localSheetId="17">'FY 06-07'!$A$1:$K$63</definedName>
    <definedName name="_xlnm.Print_Area" localSheetId="16">'FY 07-08'!$A$1:$K$71</definedName>
    <definedName name="_xlnm.Print_Area" localSheetId="15">'FY 08-09'!$A$1:$L$74</definedName>
    <definedName name="_xlnm.Print_Area" localSheetId="14">'FY 09-10'!$A$1:$L$74</definedName>
    <definedName name="_xlnm.Print_Area" localSheetId="13">'FY 10-11'!$A$1:$L$77</definedName>
    <definedName name="_xlnm.Print_Area" localSheetId="12">'FY 11-12'!$A$1:$M$76</definedName>
    <definedName name="_xlnm.Print_Area" localSheetId="11">'FY 12-13'!$A$1:$M$76</definedName>
    <definedName name="_xlnm.Print_Area" localSheetId="10">'FY 13-14'!$A$1:$M$76</definedName>
    <definedName name="_xlnm.Print_Area" localSheetId="9">'FY 14-15'!$A$1:$M$76</definedName>
    <definedName name="_xlnm.Print_Area" localSheetId="8">'FY 15-16'!$A$1:$M$76</definedName>
    <definedName name="_xlnm.Print_Area" localSheetId="7">'FY 16-17'!$A$1:$M$76</definedName>
    <definedName name="_xlnm.Print_Area" localSheetId="6">'FY 17-18'!$A$1:$M$82</definedName>
    <definedName name="_xlnm.Print_Area" localSheetId="5">'FY 18-19'!$A$1:$M$80</definedName>
    <definedName name="_xlnm.Print_Area" localSheetId="4">'FY 19-20'!$A$1:$K$76</definedName>
    <definedName name="_xlnm.Print_Area" localSheetId="3">'FY 20-21'!$A$1:$K$76</definedName>
    <definedName name="_xlnm.Print_Area" localSheetId="2">'FY 21-22'!$A$1:$K$76</definedName>
    <definedName name="_xlnm.Print_Area" localSheetId="1">'FY 22-23'!$A$1:$K$76</definedName>
    <definedName name="_xlnm.Print_Area" localSheetId="0">'FY 23-24'!$A$1:$K$76</definedName>
  </definedNames>
  <calcPr fullCalcOnLoad="1"/>
</workbook>
</file>

<file path=xl/sharedStrings.xml><?xml version="1.0" encoding="utf-8"?>
<sst xmlns="http://schemas.openxmlformats.org/spreadsheetml/2006/main" count="1351" uniqueCount="128">
  <si>
    <t>4229 Stuhlman Rd</t>
  </si>
  <si>
    <t>Vernon, NY 13476</t>
  </si>
  <si>
    <t>www.vernondowns.com</t>
  </si>
  <si>
    <t>(877) 888-9766</t>
  </si>
  <si>
    <t>Fiscal Year 2006/07</t>
  </si>
  <si>
    <t>Distribution of Net Win:</t>
  </si>
  <si>
    <t>Credits</t>
  </si>
  <si>
    <t>Avg Daily</t>
  </si>
  <si>
    <t>Win/VGM</t>
  </si>
  <si>
    <t>Education</t>
  </si>
  <si>
    <t>Marketing</t>
  </si>
  <si>
    <t>Month</t>
  </si>
  <si>
    <t>Played</t>
  </si>
  <si>
    <t>Won</t>
  </si>
  <si>
    <t>Net Win</t>
  </si>
  <si>
    <t>VGM's</t>
  </si>
  <si>
    <t>per Day</t>
  </si>
  <si>
    <t>Contribution</t>
  </si>
  <si>
    <t>Commission</t>
  </si>
  <si>
    <t>Allowance</t>
  </si>
  <si>
    <t>Total</t>
  </si>
  <si>
    <t>Definition of Terms</t>
  </si>
  <si>
    <t>Credits Played:</t>
  </si>
  <si>
    <t>Credits Won:</t>
  </si>
  <si>
    <t>The amount of onscreen credits won on a VGM.  Also includes any progressive jackpot liability due to players.</t>
  </si>
  <si>
    <t>Net Win:</t>
  </si>
  <si>
    <t xml:space="preserve">The net revenues remaining after payout of prizes to players. (Credits Played less Credits Won)  Net win is </t>
  </si>
  <si>
    <t>commonly referred to as "Hold" or "Net Machine Income".</t>
  </si>
  <si>
    <t>Education Contribution:</t>
  </si>
  <si>
    <t>The portion of Net Win allocated to the State Education Fund for direct aid to education.</t>
  </si>
  <si>
    <t>Marketing Allowance:</t>
  </si>
  <si>
    <t>Distribution of Net Win per Legislation</t>
  </si>
  <si>
    <t>First $50 million net win annually</t>
  </si>
  <si>
    <t>$50 - $100 million net win</t>
  </si>
  <si>
    <t>$100 - $150 million net win</t>
  </si>
  <si>
    <t>Over $150 million net win</t>
  </si>
  <si>
    <t xml:space="preserve"> </t>
  </si>
  <si>
    <t>Source:  New York Lottery</t>
  </si>
  <si>
    <t>Fiscal Year 2007/08</t>
  </si>
  <si>
    <t>Aid to Municipalities with Video Lottery Gaming Facilities Program</t>
  </si>
  <si>
    <t>Village of Vernon</t>
  </si>
  <si>
    <t>Town of Vernon</t>
  </si>
  <si>
    <t>Oneida County</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</si>
  <si>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2007 host municipalities of the Vernon Downs Gaming facility received the following aid payments: </t>
  </si>
  <si>
    <t>Fiscal Year 2008/2009</t>
  </si>
  <si>
    <t>Capital</t>
  </si>
  <si>
    <t>Award</t>
  </si>
  <si>
    <t>Capital Award:</t>
  </si>
  <si>
    <t>Over $100 million net win</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</si>
  <si>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2008 host municipalities of the Vernon Downs Gaming facility received the following aid payments: </t>
  </si>
  <si>
    <t>First $62.5 million net win annually</t>
  </si>
  <si>
    <t>$62.5 - $100 million net win annually</t>
  </si>
  <si>
    <t>Vernon Downs Casino + Hotel</t>
  </si>
  <si>
    <t>Fiscal Year 2009/2010</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</si>
  <si>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2009 host municipalities of the Vernon Downs Gaming facility received the following aid payments: </t>
  </si>
  <si>
    <t>The net revenues remaining after payout of prizes to players. (Credits Played less Credits Won)  Net win is commonly</t>
  </si>
  <si>
    <t>referred to as "Hold" or "Net Machine Income".</t>
  </si>
  <si>
    <t>The portion of Net Win allocated to the operators of the gaming facility that is restricted for capital project investments</t>
  </si>
  <si>
    <t>which improve the facilities and promote or encourage increased attendance at the video gaming facility. The Capital Award</t>
  </si>
  <si>
    <t>is subject to an annual cap of $2.5 million.</t>
  </si>
  <si>
    <t>Fiscal Year 2010/2011</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</si>
  <si>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2010 host municipalities of the Vernon Downs Gaming facility received the following aid payments: </t>
  </si>
  <si>
    <t xml:space="preserve">                Note: The percentages above reflect revised legislation that went into effect August 11, 2010. This legislation lowered Racetrack Commissions</t>
  </si>
  <si>
    <t xml:space="preserve">                and increased Education Contribution by 1%.</t>
  </si>
  <si>
    <t>Fiscal Year 2011/2012</t>
  </si>
  <si>
    <t>Free Play</t>
  </si>
  <si>
    <t xml:space="preserve">The portion of the Net Win paid to the casino operator to finance the costs of advertising, marketing and promoting </t>
  </si>
  <si>
    <t>video lottery play at the casino.</t>
  </si>
  <si>
    <t>Agent Commission:</t>
  </si>
  <si>
    <t>The portion of Net Win paid to the casino operator as compensation for operating the gaming facility. Most operating expenses</t>
  </si>
  <si>
    <t>Gaming Floor &amp; Admin</t>
  </si>
  <si>
    <t xml:space="preserve">The portion of Net Win used to reimburse gaming floor vendors (central system and game machine providers) and </t>
  </si>
  <si>
    <t>administer the Video Gaming Program (sometimes labeled "Lottery Administration").</t>
  </si>
  <si>
    <t>Agent</t>
  </si>
  <si>
    <t>Gaming Floor</t>
  </si>
  <si>
    <t>&amp; Admin</t>
  </si>
  <si>
    <t xml:space="preserve">of the gaming facility are paid from the agent commission (including the horse racing subsidies), with the exception of the </t>
  </si>
  <si>
    <t xml:space="preserve">gaming floor itself, which is provided by the other vendors and paid for by the Lottery. </t>
  </si>
  <si>
    <t>Gaming Floor &amp; Admin:</t>
  </si>
  <si>
    <t>The amount of promotional free play included in Credits Played that is subsidized by the State through a reduction to Net Win.</t>
  </si>
  <si>
    <t>Operator</t>
  </si>
  <si>
    <t>Purses</t>
  </si>
  <si>
    <t>Breeders</t>
  </si>
  <si>
    <t>Agent Commission</t>
  </si>
  <si>
    <t>(877) 888-3766</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</si>
  <si>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2011 host municipalities of the Vernon Downs Casino facility received the following aid payments: </t>
  </si>
  <si>
    <t>Fiscal Year 2012/2013</t>
  </si>
  <si>
    <t>The amount of onscreen credits wagered on a video gaming machine (VGM).  This amount includes Credits Played resulting</t>
  </si>
  <si>
    <t>from; (a) cash and vouchers inserted into a VGM, and (b) any Credits Won used to make a wager on a VGM.</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</si>
  <si>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2012 host municipalities of the Vernon Downs Casino facility received the following aid payments: </t>
  </si>
  <si>
    <t>Free Play Allowance:</t>
  </si>
  <si>
    <t>Source:  New York State Gaming Commission</t>
  </si>
  <si>
    <t>Fiscal Year 2013/2014</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</si>
  <si>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2013-2014 host municipalities of the Vernon Downs Casino facility were scheduled to receive the following aid payments: </t>
  </si>
  <si>
    <t>The amount of onscreen credits won on a VGM (prize payout).  Also includes any progressive jackpot liability due to players.</t>
  </si>
  <si>
    <t>Fiscal Year 2014/2015</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</si>
  <si>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2014-2015 host municipalities of the Vernon Downs Casino facility were scheduled to receive the following aid payments: </t>
  </si>
  <si>
    <t>Fiscal Year 2015/2016</t>
  </si>
  <si>
    <t>Fiscal Year 2016/2017</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</si>
  <si>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2015-2016 host municipalities of the Vernon Downs Casino facility were scheduled to receive the following aid payments: </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</si>
  <si>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2016-2017 host municipalities of the Vernon Downs Casino facility were scheduled to receive the following aid payments: </t>
  </si>
  <si>
    <t>Fiscal Year 2017/2018</t>
  </si>
  <si>
    <t>Fiscal Year 2018/2019</t>
  </si>
  <si>
    <t>Administrative Withholding:</t>
  </si>
  <si>
    <t xml:space="preserve">Chapter 61 of the Laws of 2017 allows Vernon Downs to retain up to 75% of the Administrative allocation as determined </t>
  </si>
  <si>
    <t xml:space="preserve">by the Commission. This is not reflected  in the "Gaming Floor &amp; Admin" rate above. </t>
  </si>
  <si>
    <t>by the Commission. This is not reflected  in the "Gaming Floor &amp; Admin" rate above. The total amount retained for</t>
  </si>
  <si>
    <t>FY 17-18 was $1,337,805.</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</si>
  <si>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2017-2018 host municipalities of the Vernon Downs Casino facility were scheduled to receive the following aid payments: </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</si>
  <si>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2018-2019 host municipalities of the Vernon Downs Casino facility were scheduled to receive the following aid payments: </t>
  </si>
  <si>
    <t xml:space="preserve">is subject to an annual cap of $2.5 million. Effective with chapter 61 of the laws of 2017, these funds can be utilized for </t>
  </si>
  <si>
    <t>general operating expenses.</t>
  </si>
  <si>
    <t>is subject to an annual cap of $2.5 million. Effective with chapter 61 of the laws of 2017, these funds can be utilized for</t>
  </si>
  <si>
    <t>Fiscal Year 2019/2020</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</si>
  <si>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2019-2020 host municipalities of the Vernon Downs Casino facility were scheduled to receive the following aid payments: </t>
  </si>
  <si>
    <r>
      <t>Effective April 12</t>
    </r>
    <r>
      <rPr>
        <vertAlign val="superscript"/>
        <sz val="10"/>
        <rFont val="Arial"/>
        <family val="2"/>
      </rPr>
      <t>th</t>
    </r>
    <r>
      <rPr>
        <sz val="10"/>
        <rFont val="Arial"/>
        <family val="2"/>
      </rPr>
      <t xml:space="preserve">, Chapter 59 of the Laws of 2019 repealed and replaced the existing marketing and capital award programs. </t>
    </r>
  </si>
  <si>
    <t>Pursuant to the new provisions, agent commission rates are inclusive of marketing and capital award funds. Agents shall</t>
  </si>
  <si>
    <t>dedicate 4% of net win, subject to a $2.5 million annual cap, to capital award projects.</t>
  </si>
  <si>
    <t>Additional Commission:</t>
  </si>
  <si>
    <t>Agent Commission does not reflect "additional commission" paid to Vernon pursuant to section 1612 of the tax law.</t>
  </si>
  <si>
    <t>Fiscal Year 2020/2021</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</si>
  <si>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2020-21 host municipalities of the Vernon Downs Casino facility were scheduled to receive the following aid payments: </t>
  </si>
  <si>
    <t>Fiscal Year 2021/2022</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</si>
  <si>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2021-22 host municipalities of the Vernon Downs Casino facility were scheduled to receive the following aid payments: </t>
  </si>
  <si>
    <t>Fiscal Year 2022/2023</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</si>
  <si>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2022-23 host municipalities of the Vernon Downs Casino facility were scheduled to receive the following aid payments: </t>
  </si>
  <si>
    <t>Fiscal Year 2023/2024</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</si>
  <si>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2023-23 host municipalities of the Vernon Downs Casino facility were scheduled to receive the following aid payments: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</si>
</sst>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quot;$&quot;#,##0.0_);[Red]\(&quot;$&quot;#,##0.0\)"/>
    <numFmt numFmtId="167" formatCode="[$-409]h:mm:ss\ AM/PM"/>
    <numFmt numFmtId="168" formatCode="0.00%;[Red]\(0.00%\)"/>
    <numFmt numFmtId="169" formatCode="m/d/yy;@"/>
    <numFmt numFmtId="170" formatCode="[Red]0.00%\)\(0.00%\)"/>
    <numFmt numFmtId="171" formatCode="0.00%_);[Red]\(0.00%\)"/>
    <numFmt numFmtId="172" formatCode="&quot;$&quot;#,##0.000_);[Red]\(&quot;$&quot;#,##0.000\)"/>
    <numFmt numFmtId="173" formatCode="mmm\-yyyy"/>
    <numFmt numFmtId="174" formatCode="0.00_);\(0.00\)"/>
  </numFmts>
  <fonts count="48">
    <font>
      <sz val="10"/>
      <name val="Arial"/>
      <family val="0"/>
    </font>
    <font>
      <sz val="10"/>
      <color indexed="8"/>
      <name val="Arial"/>
      <family val="2"/>
    </font>
    <font>
      <u val="single"/>
      <sz val="10"/>
      <color indexed="36"/>
      <name val="Arial"/>
      <family val="2"/>
    </font>
    <font>
      <u val="single"/>
      <sz val="10"/>
      <color indexed="12"/>
      <name val="Arial"/>
      <family val="2"/>
    </font>
    <font>
      <sz val="8"/>
      <name val="Arial"/>
      <family val="2"/>
    </font>
    <font>
      <b/>
      <sz val="14"/>
      <name val="Arial"/>
      <family val="2"/>
    </font>
    <font>
      <sz val="12"/>
      <name val="Arial"/>
      <family val="2"/>
    </font>
    <font>
      <u val="single"/>
      <sz val="11"/>
      <color indexed="12"/>
      <name val="Arial"/>
      <family val="2"/>
    </font>
    <font>
      <sz val="11"/>
      <name val="Arial"/>
      <family val="2"/>
    </font>
    <font>
      <b/>
      <sz val="10"/>
      <name val="Arial"/>
      <family val="2"/>
    </font>
    <font>
      <b/>
      <sz val="9"/>
      <name val="Arial"/>
      <family val="2"/>
    </font>
    <font>
      <sz val="9"/>
      <name val="Arial"/>
      <family val="2"/>
    </font>
    <font>
      <b/>
      <vertAlign val="superscript"/>
      <sz val="9"/>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1" fillId="0" borderId="0">
      <alignment vertical="top"/>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1">
    <xf numFmtId="0" fontId="0" fillId="0" borderId="0" xfId="0" applyAlignment="1">
      <alignment/>
    </xf>
    <xf numFmtId="0" fontId="0" fillId="0" borderId="0" xfId="0" applyAlignment="1">
      <alignment horizontal="center"/>
    </xf>
    <xf numFmtId="6" fontId="8" fillId="0" borderId="0" xfId="0" applyNumberFormat="1" applyFont="1" applyAlignment="1">
      <alignment horizontal="center"/>
    </xf>
    <xf numFmtId="165" fontId="0" fillId="0" borderId="0" xfId="0" applyNumberFormat="1" applyAlignment="1">
      <alignment horizontal="center"/>
    </xf>
    <xf numFmtId="6" fontId="0" fillId="0" borderId="0" xfId="0" applyNumberFormat="1" applyAlignment="1">
      <alignment horizontal="left"/>
    </xf>
    <xf numFmtId="6" fontId="0" fillId="0" borderId="0" xfId="0" applyNumberFormat="1" applyAlignment="1">
      <alignment horizontal="center"/>
    </xf>
    <xf numFmtId="38" fontId="0" fillId="0" borderId="0" xfId="0" applyNumberFormat="1" applyAlignment="1">
      <alignment horizontal="center"/>
    </xf>
    <xf numFmtId="0" fontId="0" fillId="0" borderId="0" xfId="0" applyFont="1" applyAlignment="1">
      <alignment horizontal="center"/>
    </xf>
    <xf numFmtId="6" fontId="10" fillId="0" borderId="10" xfId="0" applyNumberFormat="1" applyFont="1" applyBorder="1" applyAlignment="1">
      <alignment horizontal="center"/>
    </xf>
    <xf numFmtId="165" fontId="10" fillId="0" borderId="0" xfId="0" applyNumberFormat="1" applyFont="1" applyAlignment="1">
      <alignment horizontal="center"/>
    </xf>
    <xf numFmtId="6" fontId="10" fillId="0" borderId="0" xfId="0" applyNumberFormat="1" applyFont="1" applyAlignment="1">
      <alignment horizontal="center"/>
    </xf>
    <xf numFmtId="38" fontId="10" fillId="0" borderId="0" xfId="0" applyNumberFormat="1" applyFont="1" applyAlignment="1">
      <alignment horizontal="center"/>
    </xf>
    <xf numFmtId="0" fontId="10" fillId="0" borderId="0" xfId="0" applyFont="1" applyAlignment="1">
      <alignment horizontal="center"/>
    </xf>
    <xf numFmtId="165" fontId="10" fillId="0" borderId="10" xfId="0" applyNumberFormat="1" applyFont="1" applyBorder="1" applyAlignment="1">
      <alignment horizontal="center"/>
    </xf>
    <xf numFmtId="38" fontId="10" fillId="0" borderId="10" xfId="0" applyNumberFormat="1" applyFont="1" applyBorder="1" applyAlignment="1">
      <alignment horizontal="center"/>
    </xf>
    <xf numFmtId="6" fontId="10" fillId="0" borderId="0" xfId="0" applyNumberFormat="1" applyFont="1" applyBorder="1" applyAlignment="1">
      <alignment horizontal="center"/>
    </xf>
    <xf numFmtId="6" fontId="0" fillId="0" borderId="0" xfId="0" applyNumberFormat="1" applyAlignment="1">
      <alignment/>
    </xf>
    <xf numFmtId="38" fontId="0" fillId="0" borderId="0" xfId="0" applyNumberFormat="1" applyAlignment="1">
      <alignment/>
    </xf>
    <xf numFmtId="6" fontId="0" fillId="0" borderId="11" xfId="0" applyNumberFormat="1" applyBorder="1" applyAlignment="1">
      <alignment/>
    </xf>
    <xf numFmtId="6" fontId="0" fillId="0" borderId="0" xfId="0" applyNumberFormat="1" applyBorder="1" applyAlignment="1">
      <alignment/>
    </xf>
    <xf numFmtId="171" fontId="0" fillId="0" borderId="0" xfId="0" applyNumberFormat="1" applyAlignment="1">
      <alignment horizontal="center"/>
    </xf>
    <xf numFmtId="171" fontId="0" fillId="0" borderId="0" xfId="0" applyNumberFormat="1" applyBorder="1" applyAlignment="1">
      <alignment/>
    </xf>
    <xf numFmtId="171" fontId="0" fillId="0" borderId="0" xfId="0" applyNumberFormat="1" applyAlignment="1">
      <alignment/>
    </xf>
    <xf numFmtId="0" fontId="0" fillId="0" borderId="0" xfId="0" applyFont="1" applyAlignment="1">
      <alignment/>
    </xf>
    <xf numFmtId="165" fontId="0" fillId="0" borderId="0" xfId="0" applyNumberFormat="1" applyAlignment="1">
      <alignment horizontal="left"/>
    </xf>
    <xf numFmtId="165" fontId="9" fillId="0" borderId="0" xfId="0" applyNumberFormat="1" applyFont="1" applyAlignment="1">
      <alignment horizontal="left"/>
    </xf>
    <xf numFmtId="6" fontId="0" fillId="0" borderId="0" xfId="0" applyNumberFormat="1" applyFont="1" applyAlignment="1">
      <alignment/>
    </xf>
    <xf numFmtId="38" fontId="0" fillId="0" borderId="0" xfId="0" applyNumberFormat="1" applyFont="1" applyAlignment="1">
      <alignment/>
    </xf>
    <xf numFmtId="165" fontId="0" fillId="0" borderId="0" xfId="0" applyNumberFormat="1" applyFont="1" applyAlignment="1">
      <alignment horizontal="left"/>
    </xf>
    <xf numFmtId="165" fontId="11" fillId="0" borderId="0" xfId="0" applyNumberFormat="1" applyFont="1" applyAlignment="1">
      <alignment horizontal="left"/>
    </xf>
    <xf numFmtId="6" fontId="11" fillId="0" borderId="0" xfId="0" applyNumberFormat="1" applyFont="1" applyAlignment="1">
      <alignment/>
    </xf>
    <xf numFmtId="38" fontId="11" fillId="0" borderId="0" xfId="0" applyNumberFormat="1" applyFont="1" applyAlignment="1">
      <alignment/>
    </xf>
    <xf numFmtId="0" fontId="12" fillId="0" borderId="0" xfId="0" applyFont="1" applyAlignment="1">
      <alignment/>
    </xf>
    <xf numFmtId="6" fontId="9" fillId="0" borderId="0" xfId="0" applyNumberFormat="1" applyFont="1" applyAlignment="1">
      <alignment/>
    </xf>
    <xf numFmtId="6" fontId="11" fillId="0" borderId="0" xfId="0" applyNumberFormat="1" applyFont="1" applyBorder="1" applyAlignment="1">
      <alignment horizontal="center"/>
    </xf>
    <xf numFmtId="0" fontId="11" fillId="0" borderId="0" xfId="0" applyFont="1" applyAlignment="1">
      <alignment/>
    </xf>
    <xf numFmtId="6" fontId="9" fillId="0" borderId="10" xfId="0" applyNumberFormat="1" applyFont="1" applyBorder="1" applyAlignment="1">
      <alignment/>
    </xf>
    <xf numFmtId="0" fontId="0" fillId="0" borderId="0" xfId="0" applyFont="1" applyAlignment="1">
      <alignment horizontal="left" vertical="top"/>
    </xf>
    <xf numFmtId="9" fontId="0" fillId="0" borderId="0" xfId="0" applyNumberFormat="1" applyFont="1" applyAlignment="1">
      <alignment horizontal="center"/>
    </xf>
    <xf numFmtId="9" fontId="11" fillId="0" borderId="0" xfId="0" applyNumberFormat="1" applyFont="1" applyBorder="1" applyAlignment="1">
      <alignment horizontal="center"/>
    </xf>
    <xf numFmtId="6" fontId="5" fillId="0" borderId="0" xfId="0" applyNumberFormat="1" applyFont="1" applyAlignment="1">
      <alignment/>
    </xf>
    <xf numFmtId="165" fontId="9" fillId="0" borderId="0" xfId="61" applyNumberFormat="1" applyFont="1" applyAlignment="1">
      <alignment horizontal="left"/>
      <protection/>
    </xf>
    <xf numFmtId="6" fontId="0" fillId="0" borderId="0" xfId="61" applyNumberFormat="1" applyFont="1">
      <alignment vertical="top"/>
      <protection/>
    </xf>
    <xf numFmtId="6" fontId="0" fillId="0" borderId="0" xfId="61" applyNumberFormat="1" applyFont="1" applyAlignment="1">
      <alignment/>
      <protection/>
    </xf>
    <xf numFmtId="6" fontId="0" fillId="0" borderId="0" xfId="61" applyNumberFormat="1" applyFont="1" applyAlignment="1">
      <alignment wrapText="1"/>
      <protection/>
    </xf>
    <xf numFmtId="0" fontId="1" fillId="0" borderId="0" xfId="61">
      <alignment vertical="top"/>
      <protection/>
    </xf>
    <xf numFmtId="6" fontId="1" fillId="0" borderId="0" xfId="61" applyNumberFormat="1">
      <alignment vertical="top"/>
      <protection/>
    </xf>
    <xf numFmtId="38" fontId="0" fillId="0" borderId="0" xfId="61" applyNumberFormat="1" applyFont="1">
      <alignment vertical="top"/>
      <protection/>
    </xf>
    <xf numFmtId="165" fontId="0" fillId="0" borderId="0" xfId="61" applyNumberFormat="1" applyFont="1" applyAlignment="1">
      <alignment horizontal="left"/>
      <protection/>
    </xf>
    <xf numFmtId="165" fontId="11" fillId="0" borderId="0" xfId="61" applyNumberFormat="1" applyFont="1" applyAlignment="1">
      <alignment horizontal="left"/>
      <protection/>
    </xf>
    <xf numFmtId="6" fontId="11" fillId="0" borderId="0" xfId="61" applyNumberFormat="1" applyFont="1">
      <alignment vertical="top"/>
      <protection/>
    </xf>
    <xf numFmtId="38" fontId="11" fillId="0" borderId="0" xfId="61" applyNumberFormat="1" applyFont="1">
      <alignment vertical="top"/>
      <protection/>
    </xf>
    <xf numFmtId="165" fontId="0" fillId="0" borderId="0" xfId="0" applyNumberFormat="1" applyAlignment="1">
      <alignment/>
    </xf>
    <xf numFmtId="6" fontId="10" fillId="0" borderId="0" xfId="61" applyNumberFormat="1" applyFont="1" applyAlignment="1">
      <alignment horizontal="center"/>
      <protection/>
    </xf>
    <xf numFmtId="6" fontId="10" fillId="0" borderId="10" xfId="61" applyNumberFormat="1" applyFont="1" applyBorder="1" applyAlignment="1">
      <alignment horizontal="center"/>
      <protection/>
    </xf>
    <xf numFmtId="10" fontId="0" fillId="0" borderId="0" xfId="0" applyNumberFormat="1" applyFont="1" applyAlignment="1">
      <alignment horizontal="center"/>
    </xf>
    <xf numFmtId="10" fontId="0" fillId="0" borderId="0" xfId="0" applyNumberFormat="1" applyFont="1" applyAlignment="1">
      <alignment/>
    </xf>
    <xf numFmtId="6" fontId="10" fillId="0" borderId="10" xfId="0" applyNumberFormat="1" applyFont="1" applyBorder="1" applyAlignment="1">
      <alignment horizontal="right"/>
    </xf>
    <xf numFmtId="10" fontId="0" fillId="0" borderId="0" xfId="0" applyNumberFormat="1" applyFont="1" applyAlignment="1">
      <alignment horizontal="right"/>
    </xf>
    <xf numFmtId="6" fontId="0" fillId="0" borderId="11" xfId="0" applyNumberFormat="1" applyFont="1" applyBorder="1" applyAlignment="1">
      <alignment/>
    </xf>
    <xf numFmtId="165" fontId="9" fillId="0" borderId="0" xfId="0" applyNumberFormat="1" applyFont="1" applyAlignment="1">
      <alignment horizontal="center"/>
    </xf>
    <xf numFmtId="6" fontId="9" fillId="0" borderId="11" xfId="0" applyNumberFormat="1" applyFont="1" applyBorder="1" applyAlignment="1">
      <alignment/>
    </xf>
    <xf numFmtId="38" fontId="9" fillId="0" borderId="11" xfId="0" applyNumberFormat="1" applyFont="1" applyBorder="1" applyAlignment="1">
      <alignment/>
    </xf>
    <xf numFmtId="6" fontId="0" fillId="0" borderId="0" xfId="57" applyNumberFormat="1" applyAlignment="1">
      <alignment/>
      <protection/>
    </xf>
    <xf numFmtId="0" fontId="0" fillId="0" borderId="0" xfId="0" applyFont="1" applyAlignment="1">
      <alignment horizontal="left"/>
    </xf>
    <xf numFmtId="6" fontId="1" fillId="0" borderId="0" xfId="61" applyNumberFormat="1" applyFont="1">
      <alignment vertical="top"/>
      <protection/>
    </xf>
    <xf numFmtId="165" fontId="0" fillId="0" borderId="0" xfId="0" applyNumberFormat="1" applyFont="1" applyAlignment="1">
      <alignment/>
    </xf>
    <xf numFmtId="165" fontId="0" fillId="0" borderId="0" xfId="0" applyNumberFormat="1" applyFont="1" applyAlignment="1">
      <alignment horizontal="left" vertical="center"/>
    </xf>
    <xf numFmtId="6" fontId="0" fillId="0" borderId="0" xfId="0" applyNumberFormat="1" applyAlignment="1">
      <alignment vertical="center"/>
    </xf>
    <xf numFmtId="38" fontId="0" fillId="0" borderId="0" xfId="0" applyNumberFormat="1" applyAlignment="1">
      <alignment vertical="center"/>
    </xf>
    <xf numFmtId="0" fontId="0" fillId="0" borderId="0" xfId="0" applyAlignment="1">
      <alignment vertical="center"/>
    </xf>
    <xf numFmtId="165" fontId="0" fillId="0" borderId="0" xfId="57" applyNumberFormat="1" applyAlignment="1">
      <alignment horizontal="center"/>
      <protection/>
    </xf>
    <xf numFmtId="38" fontId="9" fillId="0" borderId="11" xfId="57" applyNumberFormat="1" applyFont="1" applyBorder="1" applyAlignment="1">
      <alignment/>
      <protection/>
    </xf>
    <xf numFmtId="5" fontId="0" fillId="0" borderId="0" xfId="0" applyNumberFormat="1" applyAlignment="1">
      <alignment/>
    </xf>
    <xf numFmtId="174" fontId="0" fillId="0" borderId="0" xfId="0" applyNumberFormat="1" applyBorder="1" applyAlignment="1">
      <alignment/>
    </xf>
    <xf numFmtId="7" fontId="9" fillId="0" borderId="11" xfId="0" applyNumberFormat="1" applyFont="1" applyBorder="1" applyAlignment="1">
      <alignment/>
    </xf>
    <xf numFmtId="10" fontId="0" fillId="0" borderId="0" xfId="0" applyNumberFormat="1" applyBorder="1" applyAlignment="1">
      <alignment/>
    </xf>
    <xf numFmtId="6" fontId="5" fillId="0" borderId="0" xfId="0" applyNumberFormat="1" applyFont="1" applyAlignment="1">
      <alignment horizontal="center"/>
    </xf>
    <xf numFmtId="6" fontId="6" fillId="0" borderId="0" xfId="0" applyNumberFormat="1" applyFont="1" applyAlignment="1">
      <alignment horizontal="center"/>
    </xf>
    <xf numFmtId="6" fontId="7" fillId="0" borderId="0" xfId="53" applyNumberFormat="1" applyFont="1" applyAlignment="1" applyProtection="1">
      <alignment horizontal="center"/>
      <protection/>
    </xf>
    <xf numFmtId="6" fontId="8" fillId="0" borderId="0" xfId="0" applyNumberFormat="1" applyFont="1" applyAlignment="1">
      <alignment horizontal="center"/>
    </xf>
    <xf numFmtId="165" fontId="9" fillId="33" borderId="12" xfId="0" applyNumberFormat="1" applyFont="1" applyFill="1" applyBorder="1" applyAlignment="1">
      <alignment horizontal="center"/>
    </xf>
    <xf numFmtId="165" fontId="9" fillId="33" borderId="13" xfId="0" applyNumberFormat="1" applyFont="1" applyFill="1" applyBorder="1" applyAlignment="1">
      <alignment horizontal="center"/>
    </xf>
    <xf numFmtId="6" fontId="10" fillId="0" borderId="10" xfId="0" applyNumberFormat="1" applyFont="1" applyBorder="1" applyAlignment="1">
      <alignment horizontal="center"/>
    </xf>
    <xf numFmtId="6" fontId="9" fillId="33" borderId="12" xfId="0" applyNumberFormat="1" applyFont="1" applyFill="1" applyBorder="1" applyAlignment="1">
      <alignment horizontal="center"/>
    </xf>
    <xf numFmtId="6" fontId="9" fillId="33" borderId="13" xfId="0" applyNumberFormat="1" applyFont="1" applyFill="1" applyBorder="1" applyAlignment="1">
      <alignment horizontal="center"/>
    </xf>
    <xf numFmtId="0" fontId="0" fillId="0" borderId="0" xfId="61" applyNumberFormat="1" applyFont="1" applyBorder="1" applyAlignment="1">
      <alignment horizontal="left" wrapText="1"/>
      <protection/>
    </xf>
    <xf numFmtId="0" fontId="0" fillId="0" borderId="0" xfId="61" applyNumberFormat="1" applyFont="1" applyBorder="1" applyAlignment="1">
      <alignment horizontal="left" wrapText="1"/>
      <protection/>
    </xf>
    <xf numFmtId="165" fontId="9" fillId="33" borderId="14" xfId="0" applyNumberFormat="1" applyFont="1" applyFill="1" applyBorder="1" applyAlignment="1">
      <alignment horizontal="center"/>
    </xf>
    <xf numFmtId="6" fontId="9" fillId="33" borderId="14" xfId="0" applyNumberFormat="1" applyFont="1" applyFill="1" applyBorder="1" applyAlignment="1">
      <alignment horizontal="center"/>
    </xf>
    <xf numFmtId="0" fontId="0" fillId="0" borderId="0" xfId="61" applyNumberFormat="1" applyFont="1" applyAlignment="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200025</xdr:rowOff>
    </xdr:from>
    <xdr:to>
      <xdr:col>2</xdr:col>
      <xdr:colOff>904875</xdr:colOff>
      <xdr:row>6</xdr:row>
      <xdr:rowOff>57150</xdr:rowOff>
    </xdr:to>
    <xdr:pic>
      <xdr:nvPicPr>
        <xdr:cNvPr id="1" name="Picture 1" descr="VernonDownsLogo"/>
        <xdr:cNvPicPr preferRelativeResize="1">
          <a:picLocks noChangeAspect="1"/>
        </xdr:cNvPicPr>
      </xdr:nvPicPr>
      <xdr:blipFill>
        <a:blip r:embed="rId1"/>
        <a:stretch>
          <a:fillRect/>
        </a:stretch>
      </xdr:blipFill>
      <xdr:spPr>
        <a:xfrm>
          <a:off x="457200" y="200025"/>
          <a:ext cx="2190750" cy="1009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200025</xdr:rowOff>
    </xdr:from>
    <xdr:to>
      <xdr:col>2</xdr:col>
      <xdr:colOff>904875</xdr:colOff>
      <xdr:row>6</xdr:row>
      <xdr:rowOff>57150</xdr:rowOff>
    </xdr:to>
    <xdr:pic>
      <xdr:nvPicPr>
        <xdr:cNvPr id="1" name="Picture 1" descr="VernonDownsLogo"/>
        <xdr:cNvPicPr preferRelativeResize="1">
          <a:picLocks noChangeAspect="1"/>
        </xdr:cNvPicPr>
      </xdr:nvPicPr>
      <xdr:blipFill>
        <a:blip r:embed="rId1"/>
        <a:stretch>
          <a:fillRect/>
        </a:stretch>
      </xdr:blipFill>
      <xdr:spPr>
        <a:xfrm>
          <a:off x="457200" y="200025"/>
          <a:ext cx="2009775" cy="1009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200025</xdr:rowOff>
    </xdr:from>
    <xdr:to>
      <xdr:col>2</xdr:col>
      <xdr:colOff>904875</xdr:colOff>
      <xdr:row>6</xdr:row>
      <xdr:rowOff>57150</xdr:rowOff>
    </xdr:to>
    <xdr:pic>
      <xdr:nvPicPr>
        <xdr:cNvPr id="1" name="Picture 1" descr="VernonDownsLogo"/>
        <xdr:cNvPicPr preferRelativeResize="1">
          <a:picLocks noChangeAspect="1"/>
        </xdr:cNvPicPr>
      </xdr:nvPicPr>
      <xdr:blipFill>
        <a:blip r:embed="rId1"/>
        <a:stretch>
          <a:fillRect/>
        </a:stretch>
      </xdr:blipFill>
      <xdr:spPr>
        <a:xfrm>
          <a:off x="457200" y="200025"/>
          <a:ext cx="2009775" cy="1009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200025</xdr:rowOff>
    </xdr:from>
    <xdr:to>
      <xdr:col>2</xdr:col>
      <xdr:colOff>904875</xdr:colOff>
      <xdr:row>6</xdr:row>
      <xdr:rowOff>57150</xdr:rowOff>
    </xdr:to>
    <xdr:pic>
      <xdr:nvPicPr>
        <xdr:cNvPr id="1" name="Picture 1" descr="VernonDownsLogo"/>
        <xdr:cNvPicPr preferRelativeResize="1">
          <a:picLocks noChangeAspect="1"/>
        </xdr:cNvPicPr>
      </xdr:nvPicPr>
      <xdr:blipFill>
        <a:blip r:embed="rId1"/>
        <a:stretch>
          <a:fillRect/>
        </a:stretch>
      </xdr:blipFill>
      <xdr:spPr>
        <a:xfrm>
          <a:off x="457200" y="200025"/>
          <a:ext cx="2009775" cy="1009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200025</xdr:rowOff>
    </xdr:from>
    <xdr:to>
      <xdr:col>2</xdr:col>
      <xdr:colOff>904875</xdr:colOff>
      <xdr:row>6</xdr:row>
      <xdr:rowOff>57150</xdr:rowOff>
    </xdr:to>
    <xdr:pic>
      <xdr:nvPicPr>
        <xdr:cNvPr id="1" name="Picture 1" descr="VernonDownsLogo"/>
        <xdr:cNvPicPr preferRelativeResize="1">
          <a:picLocks noChangeAspect="1"/>
        </xdr:cNvPicPr>
      </xdr:nvPicPr>
      <xdr:blipFill>
        <a:blip r:embed="rId1"/>
        <a:stretch>
          <a:fillRect/>
        </a:stretch>
      </xdr:blipFill>
      <xdr:spPr>
        <a:xfrm>
          <a:off x="457200" y="200025"/>
          <a:ext cx="2009775" cy="1009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85725</xdr:rowOff>
    </xdr:from>
    <xdr:to>
      <xdr:col>2</xdr:col>
      <xdr:colOff>95250</xdr:colOff>
      <xdr:row>4</xdr:row>
      <xdr:rowOff>180975</xdr:rowOff>
    </xdr:to>
    <xdr:pic>
      <xdr:nvPicPr>
        <xdr:cNvPr id="1" name="Picture 1" descr="VernonDownsLogo"/>
        <xdr:cNvPicPr preferRelativeResize="1">
          <a:picLocks noChangeAspect="1"/>
        </xdr:cNvPicPr>
      </xdr:nvPicPr>
      <xdr:blipFill>
        <a:blip r:embed="rId1"/>
        <a:stretch>
          <a:fillRect/>
        </a:stretch>
      </xdr:blipFill>
      <xdr:spPr>
        <a:xfrm>
          <a:off x="323850" y="85725"/>
          <a:ext cx="1333500" cy="8858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2</xdr:col>
      <xdr:colOff>76200</xdr:colOff>
      <xdr:row>5</xdr:row>
      <xdr:rowOff>0</xdr:rowOff>
    </xdr:to>
    <xdr:pic>
      <xdr:nvPicPr>
        <xdr:cNvPr id="1" name="Picture 1" descr="VernonDownsLogo"/>
        <xdr:cNvPicPr preferRelativeResize="1">
          <a:picLocks noChangeAspect="1"/>
        </xdr:cNvPicPr>
      </xdr:nvPicPr>
      <xdr:blipFill>
        <a:blip r:embed="rId1"/>
        <a:stretch>
          <a:fillRect/>
        </a:stretch>
      </xdr:blipFill>
      <xdr:spPr>
        <a:xfrm>
          <a:off x="352425" y="28575"/>
          <a:ext cx="1285875" cy="942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47625</xdr:rowOff>
    </xdr:from>
    <xdr:to>
      <xdr:col>2</xdr:col>
      <xdr:colOff>76200</xdr:colOff>
      <xdr:row>5</xdr:row>
      <xdr:rowOff>66675</xdr:rowOff>
    </xdr:to>
    <xdr:pic>
      <xdr:nvPicPr>
        <xdr:cNvPr id="1" name="Picture 3" descr="VernonDownsLogo"/>
        <xdr:cNvPicPr preferRelativeResize="1">
          <a:picLocks noChangeAspect="1"/>
        </xdr:cNvPicPr>
      </xdr:nvPicPr>
      <xdr:blipFill>
        <a:blip r:embed="rId1"/>
        <a:stretch>
          <a:fillRect/>
        </a:stretch>
      </xdr:blipFill>
      <xdr:spPr>
        <a:xfrm>
          <a:off x="352425" y="47625"/>
          <a:ext cx="1285875" cy="990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57150</xdr:rowOff>
    </xdr:from>
    <xdr:to>
      <xdr:col>2</xdr:col>
      <xdr:colOff>57150</xdr:colOff>
      <xdr:row>5</xdr:row>
      <xdr:rowOff>28575</xdr:rowOff>
    </xdr:to>
    <xdr:pic>
      <xdr:nvPicPr>
        <xdr:cNvPr id="1" name="Picture 2" descr="VernonDownsLogo"/>
        <xdr:cNvPicPr preferRelativeResize="1">
          <a:picLocks noChangeAspect="1"/>
        </xdr:cNvPicPr>
      </xdr:nvPicPr>
      <xdr:blipFill>
        <a:blip r:embed="rId1"/>
        <a:stretch>
          <a:fillRect/>
        </a:stretch>
      </xdr:blipFill>
      <xdr:spPr>
        <a:xfrm>
          <a:off x="381000" y="57150"/>
          <a:ext cx="1238250" cy="9429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28575</xdr:rowOff>
    </xdr:from>
    <xdr:to>
      <xdr:col>2</xdr:col>
      <xdr:colOff>95250</xdr:colOff>
      <xdr:row>5</xdr:row>
      <xdr:rowOff>9525</xdr:rowOff>
    </xdr:to>
    <xdr:pic>
      <xdr:nvPicPr>
        <xdr:cNvPr id="1" name="Picture 2" descr="VernonDownsLogo"/>
        <xdr:cNvPicPr preferRelativeResize="1">
          <a:picLocks noChangeAspect="1"/>
        </xdr:cNvPicPr>
      </xdr:nvPicPr>
      <xdr:blipFill>
        <a:blip r:embed="rId1"/>
        <a:stretch>
          <a:fillRect/>
        </a:stretch>
      </xdr:blipFill>
      <xdr:spPr>
        <a:xfrm>
          <a:off x="323850" y="28575"/>
          <a:ext cx="133350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200025</xdr:rowOff>
    </xdr:from>
    <xdr:to>
      <xdr:col>2</xdr:col>
      <xdr:colOff>904875</xdr:colOff>
      <xdr:row>6</xdr:row>
      <xdr:rowOff>57150</xdr:rowOff>
    </xdr:to>
    <xdr:pic>
      <xdr:nvPicPr>
        <xdr:cNvPr id="1" name="Picture 1" descr="VernonDownsLogo"/>
        <xdr:cNvPicPr preferRelativeResize="1">
          <a:picLocks noChangeAspect="1"/>
        </xdr:cNvPicPr>
      </xdr:nvPicPr>
      <xdr:blipFill>
        <a:blip r:embed="rId1"/>
        <a:stretch>
          <a:fillRect/>
        </a:stretch>
      </xdr:blipFill>
      <xdr:spPr>
        <a:xfrm>
          <a:off x="457200" y="200025"/>
          <a:ext cx="219075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200025</xdr:rowOff>
    </xdr:from>
    <xdr:to>
      <xdr:col>2</xdr:col>
      <xdr:colOff>904875</xdr:colOff>
      <xdr:row>6</xdr:row>
      <xdr:rowOff>57150</xdr:rowOff>
    </xdr:to>
    <xdr:pic>
      <xdr:nvPicPr>
        <xdr:cNvPr id="1" name="Picture 1" descr="VernonDownsLogo"/>
        <xdr:cNvPicPr preferRelativeResize="1">
          <a:picLocks noChangeAspect="1"/>
        </xdr:cNvPicPr>
      </xdr:nvPicPr>
      <xdr:blipFill>
        <a:blip r:embed="rId1"/>
        <a:stretch>
          <a:fillRect/>
        </a:stretch>
      </xdr:blipFill>
      <xdr:spPr>
        <a:xfrm>
          <a:off x="457200" y="200025"/>
          <a:ext cx="2190750"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200025</xdr:rowOff>
    </xdr:from>
    <xdr:to>
      <xdr:col>2</xdr:col>
      <xdr:colOff>904875</xdr:colOff>
      <xdr:row>6</xdr:row>
      <xdr:rowOff>57150</xdr:rowOff>
    </xdr:to>
    <xdr:pic>
      <xdr:nvPicPr>
        <xdr:cNvPr id="1" name="Picture 1" descr="VernonDownsLogo"/>
        <xdr:cNvPicPr preferRelativeResize="1">
          <a:picLocks noChangeAspect="1"/>
        </xdr:cNvPicPr>
      </xdr:nvPicPr>
      <xdr:blipFill>
        <a:blip r:embed="rId1"/>
        <a:stretch>
          <a:fillRect/>
        </a:stretch>
      </xdr:blipFill>
      <xdr:spPr>
        <a:xfrm>
          <a:off x="457200" y="200025"/>
          <a:ext cx="2190750" cy="1009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200025</xdr:rowOff>
    </xdr:from>
    <xdr:to>
      <xdr:col>2</xdr:col>
      <xdr:colOff>904875</xdr:colOff>
      <xdr:row>6</xdr:row>
      <xdr:rowOff>57150</xdr:rowOff>
    </xdr:to>
    <xdr:pic>
      <xdr:nvPicPr>
        <xdr:cNvPr id="1" name="Picture 1" descr="VernonDownsLogo"/>
        <xdr:cNvPicPr preferRelativeResize="1">
          <a:picLocks noChangeAspect="1"/>
        </xdr:cNvPicPr>
      </xdr:nvPicPr>
      <xdr:blipFill>
        <a:blip r:embed="rId1"/>
        <a:stretch>
          <a:fillRect/>
        </a:stretch>
      </xdr:blipFill>
      <xdr:spPr>
        <a:xfrm>
          <a:off x="457200" y="200025"/>
          <a:ext cx="2190750" cy="1009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200025</xdr:rowOff>
    </xdr:from>
    <xdr:to>
      <xdr:col>2</xdr:col>
      <xdr:colOff>904875</xdr:colOff>
      <xdr:row>6</xdr:row>
      <xdr:rowOff>57150</xdr:rowOff>
    </xdr:to>
    <xdr:pic>
      <xdr:nvPicPr>
        <xdr:cNvPr id="1" name="Picture 1" descr="VernonDownsLogo"/>
        <xdr:cNvPicPr preferRelativeResize="1">
          <a:picLocks noChangeAspect="1"/>
        </xdr:cNvPicPr>
      </xdr:nvPicPr>
      <xdr:blipFill>
        <a:blip r:embed="rId1"/>
        <a:stretch>
          <a:fillRect/>
        </a:stretch>
      </xdr:blipFill>
      <xdr:spPr>
        <a:xfrm>
          <a:off x="457200" y="200025"/>
          <a:ext cx="2190750" cy="1009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200025</xdr:rowOff>
    </xdr:from>
    <xdr:to>
      <xdr:col>2</xdr:col>
      <xdr:colOff>904875</xdr:colOff>
      <xdr:row>6</xdr:row>
      <xdr:rowOff>57150</xdr:rowOff>
    </xdr:to>
    <xdr:pic>
      <xdr:nvPicPr>
        <xdr:cNvPr id="1" name="Picture 1" descr="VernonDownsLogo"/>
        <xdr:cNvPicPr preferRelativeResize="1">
          <a:picLocks noChangeAspect="1"/>
        </xdr:cNvPicPr>
      </xdr:nvPicPr>
      <xdr:blipFill>
        <a:blip r:embed="rId1"/>
        <a:stretch>
          <a:fillRect/>
        </a:stretch>
      </xdr:blipFill>
      <xdr:spPr>
        <a:xfrm>
          <a:off x="457200" y="200025"/>
          <a:ext cx="2200275" cy="1009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200025</xdr:rowOff>
    </xdr:from>
    <xdr:to>
      <xdr:col>2</xdr:col>
      <xdr:colOff>904875</xdr:colOff>
      <xdr:row>6</xdr:row>
      <xdr:rowOff>57150</xdr:rowOff>
    </xdr:to>
    <xdr:pic>
      <xdr:nvPicPr>
        <xdr:cNvPr id="1" name="Picture 1" descr="VernonDownsLogo"/>
        <xdr:cNvPicPr preferRelativeResize="1">
          <a:picLocks noChangeAspect="1"/>
        </xdr:cNvPicPr>
      </xdr:nvPicPr>
      <xdr:blipFill>
        <a:blip r:embed="rId1"/>
        <a:stretch>
          <a:fillRect/>
        </a:stretch>
      </xdr:blipFill>
      <xdr:spPr>
        <a:xfrm>
          <a:off x="457200" y="200025"/>
          <a:ext cx="2009775" cy="1009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200025</xdr:rowOff>
    </xdr:from>
    <xdr:to>
      <xdr:col>2</xdr:col>
      <xdr:colOff>904875</xdr:colOff>
      <xdr:row>6</xdr:row>
      <xdr:rowOff>57150</xdr:rowOff>
    </xdr:to>
    <xdr:pic>
      <xdr:nvPicPr>
        <xdr:cNvPr id="1" name="Picture 1" descr="VernonDownsLogo"/>
        <xdr:cNvPicPr preferRelativeResize="1">
          <a:picLocks noChangeAspect="1"/>
        </xdr:cNvPicPr>
      </xdr:nvPicPr>
      <xdr:blipFill>
        <a:blip r:embed="rId1"/>
        <a:stretch>
          <a:fillRect/>
        </a:stretch>
      </xdr:blipFill>
      <xdr:spPr>
        <a:xfrm>
          <a:off x="457200" y="200025"/>
          <a:ext cx="20097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vernondowns.com/"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76"/>
  <sheetViews>
    <sheetView tabSelected="1" zoomScalePageLayoutView="0" workbookViewId="0" topLeftCell="A1">
      <selection activeCell="I26" sqref="I26:K26"/>
    </sheetView>
  </sheetViews>
  <sheetFormatPr defaultColWidth="9.140625" defaultRowHeight="12.75"/>
  <cols>
    <col min="1" max="1" width="10.57421875" style="3" customWidth="1"/>
    <col min="2" max="2" width="15.57421875" style="16" customWidth="1"/>
    <col min="3" max="3" width="13.57421875" style="16" customWidth="1"/>
    <col min="4" max="4" width="14.140625" style="16" customWidth="1"/>
    <col min="5" max="5" width="12.7109375" style="16" customWidth="1"/>
    <col min="6" max="6" width="11.421875" style="17" customWidth="1"/>
    <col min="7" max="7" width="11.421875" style="16" customWidth="1"/>
    <col min="8" max="8" width="2.421875" style="16" customWidth="1"/>
    <col min="9" max="9" width="13.00390625" style="16" customWidth="1"/>
    <col min="10" max="10" width="12.7109375" style="16" customWidth="1"/>
    <col min="11" max="11" width="12.8515625" style="16" bestFit="1" customWidth="1"/>
    <col min="12" max="12" width="12.7109375" style="0" customWidth="1"/>
  </cols>
  <sheetData>
    <row r="1" spans="1:11" ht="18">
      <c r="A1" s="77" t="s">
        <v>52</v>
      </c>
      <c r="B1" s="77"/>
      <c r="C1" s="77"/>
      <c r="D1" s="77"/>
      <c r="E1" s="77"/>
      <c r="F1" s="77"/>
      <c r="G1" s="77"/>
      <c r="H1" s="77"/>
      <c r="I1" s="77"/>
      <c r="J1" s="77"/>
      <c r="K1" s="77"/>
    </row>
    <row r="2" spans="1:11" ht="15">
      <c r="A2" s="78" t="s">
        <v>0</v>
      </c>
      <c r="B2" s="78"/>
      <c r="C2" s="78"/>
      <c r="D2" s="78"/>
      <c r="E2" s="78"/>
      <c r="F2" s="78"/>
      <c r="G2" s="78"/>
      <c r="H2" s="78"/>
      <c r="I2" s="78"/>
      <c r="J2" s="78"/>
      <c r="K2" s="78"/>
    </row>
    <row r="3" spans="1:11" s="1" customFormat="1" ht="15">
      <c r="A3" s="78" t="s">
        <v>1</v>
      </c>
      <c r="B3" s="78"/>
      <c r="C3" s="78"/>
      <c r="D3" s="78"/>
      <c r="E3" s="78"/>
      <c r="F3" s="78"/>
      <c r="G3" s="78"/>
      <c r="H3" s="78"/>
      <c r="I3" s="78"/>
      <c r="J3" s="78"/>
      <c r="K3" s="78"/>
    </row>
    <row r="4" spans="1:11" s="1" customFormat="1" ht="14.25" customHeight="1">
      <c r="A4" s="79" t="s">
        <v>2</v>
      </c>
      <c r="B4" s="79"/>
      <c r="C4" s="79"/>
      <c r="D4" s="79"/>
      <c r="E4" s="79"/>
      <c r="F4" s="79"/>
      <c r="G4" s="79"/>
      <c r="H4" s="79"/>
      <c r="I4" s="79"/>
      <c r="J4" s="79"/>
      <c r="K4" s="79"/>
    </row>
    <row r="5" spans="1:11" s="1" customFormat="1" ht="14.25">
      <c r="A5" s="80" t="s">
        <v>84</v>
      </c>
      <c r="B5" s="80"/>
      <c r="C5" s="80"/>
      <c r="D5" s="80"/>
      <c r="E5" s="80"/>
      <c r="F5" s="80"/>
      <c r="G5" s="80"/>
      <c r="H5" s="80"/>
      <c r="I5" s="80"/>
      <c r="J5" s="80"/>
      <c r="K5" s="80"/>
    </row>
    <row r="6" spans="1:11" s="1" customFormat="1" ht="14.25">
      <c r="A6" s="2"/>
      <c r="B6" s="2"/>
      <c r="C6" s="2"/>
      <c r="D6" s="2"/>
      <c r="E6" s="2"/>
      <c r="F6" s="2"/>
      <c r="G6" s="2"/>
      <c r="H6" s="2"/>
      <c r="I6" s="2"/>
      <c r="J6" s="2"/>
      <c r="K6" s="2"/>
    </row>
    <row r="7" spans="1:11" s="1" customFormat="1" ht="12.75">
      <c r="A7" s="3"/>
      <c r="B7" s="4"/>
      <c r="C7" s="4"/>
      <c r="D7" s="4"/>
      <c r="E7" s="5"/>
      <c r="F7" s="6"/>
      <c r="G7" s="5"/>
      <c r="H7" s="5"/>
      <c r="I7" s="5"/>
      <c r="J7" s="5"/>
      <c r="K7" s="5"/>
    </row>
    <row r="8" spans="1:11" s="7" customFormat="1" ht="14.25" customHeight="1">
      <c r="A8" s="81" t="s">
        <v>126</v>
      </c>
      <c r="B8" s="82"/>
      <c r="C8" s="82"/>
      <c r="D8" s="82"/>
      <c r="E8" s="82"/>
      <c r="F8" s="82"/>
      <c r="G8" s="82"/>
      <c r="H8" s="82"/>
      <c r="I8" s="82"/>
      <c r="J8" s="82"/>
      <c r="K8" s="82"/>
    </row>
    <row r="9" spans="1:11" s="1" customFormat="1" ht="9" customHeight="1">
      <c r="A9" s="3"/>
      <c r="B9" s="4"/>
      <c r="C9" s="4"/>
      <c r="D9" s="4"/>
      <c r="E9" s="5"/>
      <c r="F9" s="6"/>
      <c r="G9" s="5"/>
      <c r="H9" s="5"/>
      <c r="I9" s="5"/>
      <c r="J9" s="5"/>
      <c r="K9" s="5"/>
    </row>
    <row r="10" spans="1:11" s="1" customFormat="1" ht="12.75">
      <c r="A10" s="3"/>
      <c r="B10" s="5"/>
      <c r="C10" s="5"/>
      <c r="D10" s="5"/>
      <c r="E10" s="5"/>
      <c r="F10" s="6"/>
      <c r="G10" s="5"/>
      <c r="H10" s="5"/>
      <c r="I10" s="83" t="s">
        <v>5</v>
      </c>
      <c r="J10" s="83"/>
      <c r="K10" s="83"/>
    </row>
    <row r="11" spans="1:11" s="1" customFormat="1" ht="12.75">
      <c r="A11" s="3"/>
      <c r="B11" s="5"/>
      <c r="C11" s="5"/>
      <c r="D11" s="5"/>
      <c r="E11" s="5"/>
      <c r="F11" s="6"/>
      <c r="G11" s="5"/>
      <c r="H11" s="5"/>
      <c r="I11" s="5"/>
      <c r="J11" s="5"/>
      <c r="K11" s="10"/>
    </row>
    <row r="12" spans="1:11" s="12" customFormat="1" ht="12">
      <c r="A12" s="9"/>
      <c r="B12" s="10" t="s">
        <v>6</v>
      </c>
      <c r="C12" s="10" t="s">
        <v>65</v>
      </c>
      <c r="D12" s="10" t="s">
        <v>6</v>
      </c>
      <c r="E12" s="10"/>
      <c r="F12" s="11" t="s">
        <v>7</v>
      </c>
      <c r="G12" s="10" t="s">
        <v>8</v>
      </c>
      <c r="H12" s="10"/>
      <c r="I12" s="10" t="s">
        <v>9</v>
      </c>
      <c r="J12" s="10" t="s">
        <v>74</v>
      </c>
      <c r="K12" s="10" t="s">
        <v>73</v>
      </c>
    </row>
    <row r="13" spans="1:11" s="12" customFormat="1" ht="12">
      <c r="A13" s="13" t="s">
        <v>11</v>
      </c>
      <c r="B13" s="8" t="s">
        <v>12</v>
      </c>
      <c r="C13" s="8" t="s">
        <v>19</v>
      </c>
      <c r="D13" s="8" t="s">
        <v>13</v>
      </c>
      <c r="E13" s="8" t="s">
        <v>14</v>
      </c>
      <c r="F13" s="14" t="s">
        <v>15</v>
      </c>
      <c r="G13" s="8" t="s">
        <v>16</v>
      </c>
      <c r="H13" s="15"/>
      <c r="I13" s="8" t="s">
        <v>17</v>
      </c>
      <c r="J13" s="8" t="s">
        <v>75</v>
      </c>
      <c r="K13" s="8" t="s">
        <v>18</v>
      </c>
    </row>
    <row r="15" spans="1:11" ht="12.75">
      <c r="A15" s="71">
        <v>45017</v>
      </c>
      <c r="B15" s="16">
        <v>38669853.07999999</v>
      </c>
      <c r="C15" s="16">
        <v>429641.22000000003</v>
      </c>
      <c r="D15" s="63">
        <f aca="true" t="shared" si="0" ref="D15:D26">IF(ISBLANK(B15),"",B15-C15-E15)</f>
        <v>35360296.38999999</v>
      </c>
      <c r="E15" s="16">
        <v>2879915.4699999993</v>
      </c>
      <c r="F15" s="17">
        <v>512</v>
      </c>
      <c r="G15" s="63">
        <f>_xlfn.IFERROR((E15/F15/30)," ")</f>
        <v>187.49449674479163</v>
      </c>
      <c r="I15" s="16">
        <v>979171.2600000001</v>
      </c>
      <c r="J15" s="16">
        <v>287991.56999999995</v>
      </c>
      <c r="K15" s="16">
        <v>1612752.67</v>
      </c>
    </row>
    <row r="16" spans="1:11" ht="12.75">
      <c r="A16" s="71">
        <v>45047</v>
      </c>
      <c r="B16" s="16">
        <v>37059683.349999994</v>
      </c>
      <c r="C16" s="16">
        <v>433674.4200000001</v>
      </c>
      <c r="D16" s="63">
        <f>IF(ISBLANK(B16),"",B16-C16-E16)</f>
        <v>33797231.629999995</v>
      </c>
      <c r="E16" s="16">
        <v>2828777.3</v>
      </c>
      <c r="F16" s="17">
        <v>512</v>
      </c>
      <c r="G16" s="63">
        <f>_xlfn.IFERROR((E16/F16/31)," ")</f>
        <v>178.22437626008065</v>
      </c>
      <c r="I16" s="16">
        <v>961784.3</v>
      </c>
      <c r="J16" s="16">
        <v>282877.74</v>
      </c>
      <c r="K16" s="16">
        <v>1584115.28</v>
      </c>
    </row>
    <row r="17" spans="1:11" ht="12.75">
      <c r="A17" s="71">
        <v>45078</v>
      </c>
      <c r="B17" s="16">
        <v>36329191.22</v>
      </c>
      <c r="C17" s="73">
        <v>407361.82999999996</v>
      </c>
      <c r="D17" s="63">
        <f>IF(ISBLANK(B17),"",B17-C17-E17)</f>
        <v>33216552.6</v>
      </c>
      <c r="E17" s="16">
        <v>2705276.790000001</v>
      </c>
      <c r="F17" s="17">
        <v>512</v>
      </c>
      <c r="G17" s="63">
        <f aca="true" t="shared" si="1" ref="G17:G22">_xlfn.IFERROR((E17/F17/30)," ")</f>
        <v>176.12479101562505</v>
      </c>
      <c r="I17" s="16">
        <v>919794.1199999999</v>
      </c>
      <c r="J17" s="16">
        <v>270527.68</v>
      </c>
      <c r="K17" s="16">
        <v>1514955.0200000003</v>
      </c>
    </row>
    <row r="18" spans="1:11" ht="12.75">
      <c r="A18" s="71">
        <v>45108</v>
      </c>
      <c r="B18" s="16">
        <v>39150739.699999996</v>
      </c>
      <c r="C18" s="16">
        <v>437943.32</v>
      </c>
      <c r="D18" s="63">
        <f>IF(ISBLANK(B18),"",B18-C18-E18)</f>
        <v>35711544.13999999</v>
      </c>
      <c r="E18" s="16">
        <v>3001252.240000001</v>
      </c>
      <c r="F18" s="17">
        <v>512</v>
      </c>
      <c r="G18" s="63">
        <f>_xlfn.IFERROR((E18/F18/31)," ")</f>
        <v>189.09099294354846</v>
      </c>
      <c r="I18" s="16">
        <v>1020425.78</v>
      </c>
      <c r="J18" s="16">
        <v>300125.22000000003</v>
      </c>
      <c r="K18" s="16">
        <v>1680701.26</v>
      </c>
    </row>
    <row r="19" spans="1:11" ht="12.75">
      <c r="A19" s="71">
        <v>45139</v>
      </c>
      <c r="B19" s="16">
        <v>37216479.31</v>
      </c>
      <c r="C19" s="16">
        <v>433202.81</v>
      </c>
      <c r="D19" s="63">
        <f>IF(ISBLANK(B19),"",B19-C19-E19)</f>
        <v>34007844.7</v>
      </c>
      <c r="E19" s="16">
        <v>2775431.8000000003</v>
      </c>
      <c r="F19" s="17">
        <v>512</v>
      </c>
      <c r="G19" s="63">
        <f>_xlfn.IFERROR((E19/F19/31)," ")</f>
        <v>174.86339465725808</v>
      </c>
      <c r="I19" s="16">
        <v>943646.8300000001</v>
      </c>
      <c r="J19" s="16">
        <v>277543.18000000005</v>
      </c>
      <c r="K19" s="16">
        <v>1554241.8100000008</v>
      </c>
    </row>
    <row r="20" spans="1:11" ht="12.75">
      <c r="A20" s="71">
        <v>45170</v>
      </c>
      <c r="B20" s="16">
        <v>37665031.70999999</v>
      </c>
      <c r="C20" s="16">
        <v>444759.17</v>
      </c>
      <c r="D20" s="63">
        <f t="shared" si="0"/>
        <v>34413810.669999994</v>
      </c>
      <c r="E20" s="16">
        <v>2806461.8700000006</v>
      </c>
      <c r="F20" s="17">
        <v>512</v>
      </c>
      <c r="G20" s="63">
        <f t="shared" si="1"/>
        <v>182.71236132812504</v>
      </c>
      <c r="I20" s="16">
        <v>954197.04</v>
      </c>
      <c r="J20" s="16">
        <v>280646.18000000005</v>
      </c>
      <c r="K20" s="16">
        <v>1571618.6300000001</v>
      </c>
    </row>
    <row r="21" spans="1:11" ht="12.75">
      <c r="A21" s="71">
        <v>45200</v>
      </c>
      <c r="B21" s="16">
        <v>36209481.07</v>
      </c>
      <c r="C21" s="16">
        <v>462187.58</v>
      </c>
      <c r="D21" s="63">
        <f t="shared" si="0"/>
        <v>33163331.37</v>
      </c>
      <c r="E21" s="16">
        <v>2583962.12</v>
      </c>
      <c r="F21" s="17">
        <v>512</v>
      </c>
      <c r="G21" s="63">
        <f>_xlfn.IFERROR((E21/F21/31)," ")</f>
        <v>162.80003276209678</v>
      </c>
      <c r="I21" s="16">
        <v>878547.1100000001</v>
      </c>
      <c r="J21" s="16">
        <v>258396.25000000006</v>
      </c>
      <c r="K21" s="16">
        <v>1447018.7899999998</v>
      </c>
    </row>
    <row r="22" spans="1:11" ht="12.75">
      <c r="A22" s="71">
        <v>45231</v>
      </c>
      <c r="B22" s="16">
        <v>33482236.63</v>
      </c>
      <c r="C22" s="16">
        <v>402146.76</v>
      </c>
      <c r="D22" s="63">
        <f t="shared" si="0"/>
        <v>30543862.799999997</v>
      </c>
      <c r="E22" s="16">
        <v>2536227.07</v>
      </c>
      <c r="F22" s="17">
        <v>512</v>
      </c>
      <c r="G22" s="63">
        <f t="shared" si="1"/>
        <v>165.11894986979166</v>
      </c>
      <c r="I22" s="16">
        <v>862317.2099999998</v>
      </c>
      <c r="J22" s="16">
        <v>253622.70999999996</v>
      </c>
      <c r="K22" s="16">
        <v>1420287.1600000004</v>
      </c>
    </row>
    <row r="23" spans="1:11" ht="12.75">
      <c r="A23" s="71">
        <v>45261</v>
      </c>
      <c r="B23" s="16">
        <v>35113036.099999994</v>
      </c>
      <c r="C23" s="16">
        <v>254680.88000000003</v>
      </c>
      <c r="D23" s="63">
        <f t="shared" si="0"/>
        <v>32167744.159999993</v>
      </c>
      <c r="E23" s="16">
        <v>2690611.06</v>
      </c>
      <c r="F23" s="17">
        <v>506</v>
      </c>
      <c r="G23" s="63">
        <f>_xlfn.IFERROR((E23/F23/31)," ")</f>
        <v>171.5294568404947</v>
      </c>
      <c r="I23" s="16">
        <v>914807.74</v>
      </c>
      <c r="J23" s="16">
        <v>269061.13</v>
      </c>
      <c r="K23" s="16">
        <v>1506742.19</v>
      </c>
    </row>
    <row r="24" spans="1:11" ht="12.75">
      <c r="A24" s="71">
        <v>45292</v>
      </c>
      <c r="B24" s="16">
        <v>31773755.64</v>
      </c>
      <c r="C24" s="16">
        <v>330085.72</v>
      </c>
      <c r="D24" s="63">
        <f t="shared" si="0"/>
        <v>28997345.220000003</v>
      </c>
      <c r="E24" s="16">
        <v>2446324.6999999993</v>
      </c>
      <c r="F24" s="17">
        <v>512</v>
      </c>
      <c r="G24" s="63">
        <f>_xlfn.IFERROR((E24/F24/31)," ")</f>
        <v>154.12832031249997</v>
      </c>
      <c r="I24" s="16">
        <v>831750.4</v>
      </c>
      <c r="J24" s="16">
        <v>244632.49999999997</v>
      </c>
      <c r="K24" s="16">
        <v>1369941.84</v>
      </c>
    </row>
    <row r="25" spans="1:11" ht="12.75">
      <c r="A25" s="71">
        <v>45323</v>
      </c>
      <c r="B25" s="16">
        <v>37237467.239999995</v>
      </c>
      <c r="C25" s="16">
        <v>284444.6</v>
      </c>
      <c r="D25" s="63">
        <f t="shared" si="0"/>
        <v>33967589.977424994</v>
      </c>
      <c r="E25" s="16">
        <v>2985432.6625749995</v>
      </c>
      <c r="F25" s="17">
        <v>512</v>
      </c>
      <c r="G25" s="63">
        <f>_xlfn.IFERROR((E25/F25/29)," ")</f>
        <v>201.06631617557917</v>
      </c>
      <c r="I25" s="16">
        <v>1015047.11</v>
      </c>
      <c r="J25" s="16">
        <v>298543.2799999999</v>
      </c>
      <c r="K25" s="16">
        <v>1671842.29</v>
      </c>
    </row>
    <row r="26" spans="1:11" ht="12.75">
      <c r="A26" s="71">
        <v>45352</v>
      </c>
      <c r="B26" s="16">
        <v>42540433.71999999</v>
      </c>
      <c r="C26" s="16">
        <v>459536.6</v>
      </c>
      <c r="D26" s="63">
        <f t="shared" si="0"/>
        <v>38904258.97999999</v>
      </c>
      <c r="E26" s="16">
        <v>3176638.139999999</v>
      </c>
      <c r="F26" s="17">
        <v>512</v>
      </c>
      <c r="G26" s="63">
        <f>_xlfn.IFERROR((E26/F26/31)," ")</f>
        <v>200.14101184475803</v>
      </c>
      <c r="I26" s="16">
        <v>1080056.9700000002</v>
      </c>
      <c r="J26" s="16">
        <v>317663.82000000007</v>
      </c>
      <c r="K26" s="16">
        <v>1778917.3599999996</v>
      </c>
    </row>
    <row r="27" spans="1:11" ht="13.5" thickBot="1">
      <c r="A27" s="60" t="s">
        <v>20</v>
      </c>
      <c r="B27" s="61">
        <f>SUM(B15:B26)</f>
        <v>442447388.7699999</v>
      </c>
      <c r="C27" s="75">
        <f>SUM(C15:C26)</f>
        <v>4779664.909999999</v>
      </c>
      <c r="D27" s="61">
        <f>SUM(D15:D26)</f>
        <v>404251412.63742495</v>
      </c>
      <c r="E27" s="61">
        <f>SUM(E15:E26)</f>
        <v>33416311.222575</v>
      </c>
      <c r="F27" s="72">
        <f>SUM(F15:F26)/COUNT(F15:F26)</f>
        <v>511.5</v>
      </c>
      <c r="G27" s="61">
        <f>AVERAGE(G15:G26)</f>
        <v>178.60787506288747</v>
      </c>
      <c r="H27" s="33"/>
      <c r="I27" s="61">
        <f>SUM(I15:I26)</f>
        <v>11361545.870000001</v>
      </c>
      <c r="J27" s="61">
        <f>SUM(J15:J26)</f>
        <v>3341631.26</v>
      </c>
      <c r="K27" s="61">
        <f>SUM(K15:K26)</f>
        <v>18713134.3</v>
      </c>
    </row>
    <row r="28" spans="2:11" ht="10.5" customHeight="1" thickTop="1">
      <c r="B28" s="19"/>
      <c r="C28" s="74"/>
      <c r="D28" s="19"/>
      <c r="E28" s="19"/>
      <c r="I28" s="19"/>
      <c r="J28" s="19"/>
      <c r="K28" s="19"/>
    </row>
    <row r="29" spans="1:11" s="22" customFormat="1" ht="12.75">
      <c r="A29" s="20"/>
      <c r="B29" s="21"/>
      <c r="C29" s="76">
        <f>_xlfn.IFERROR(C27/B27,"")</f>
        <v>0.010802787023531607</v>
      </c>
      <c r="D29" s="21">
        <f>_xlfn.IFERROR(D27/B27,"")</f>
        <v>0.9136711457632071</v>
      </c>
      <c r="E29" s="21">
        <f>_xlfn.IFERROR(E27/B27,"")</f>
        <v>0.07552606721326138</v>
      </c>
      <c r="I29" s="21">
        <f>_xlfn.IFERROR(I27/$E$27,"")</f>
        <v>0.3400000016256881</v>
      </c>
      <c r="J29" s="21">
        <f>_xlfn.IFERROR(J27/$E$27,"")</f>
        <v>0.1000000041220139</v>
      </c>
      <c r="K29" s="21">
        <f>_xlfn.IFERROR(K27/$E$27,"")</f>
        <v>0.5600000004595959</v>
      </c>
    </row>
    <row r="31" spans="1:11" s="23" customFormat="1" ht="12.75">
      <c r="A31" s="81" t="s">
        <v>21</v>
      </c>
      <c r="B31" s="82"/>
      <c r="C31" s="82"/>
      <c r="D31" s="82"/>
      <c r="E31" s="82"/>
      <c r="F31" s="82"/>
      <c r="G31" s="82"/>
      <c r="H31" s="82"/>
      <c r="I31" s="82"/>
      <c r="J31" s="82"/>
      <c r="K31" s="82"/>
    </row>
    <row r="32" ht="12.75">
      <c r="A32" s="24"/>
    </row>
    <row r="33" spans="1:11" s="45" customFormat="1" ht="12.75" customHeight="1">
      <c r="A33" s="41" t="s">
        <v>22</v>
      </c>
      <c r="B33" s="42"/>
      <c r="C33" s="43" t="s">
        <v>87</v>
      </c>
      <c r="D33" s="44"/>
      <c r="E33" s="44"/>
      <c r="F33" s="44"/>
      <c r="G33" s="44"/>
      <c r="H33" s="44"/>
      <c r="I33" s="44"/>
      <c r="J33" s="44"/>
      <c r="K33" s="44"/>
    </row>
    <row r="34" spans="1:11" s="45" customFormat="1" ht="12.75" customHeight="1">
      <c r="A34" s="41"/>
      <c r="B34" s="42"/>
      <c r="C34" s="43" t="s">
        <v>88</v>
      </c>
      <c r="D34" s="44"/>
      <c r="E34" s="44"/>
      <c r="F34" s="44"/>
      <c r="G34" s="44"/>
      <c r="H34" s="44"/>
      <c r="I34" s="44"/>
      <c r="J34" s="44"/>
      <c r="K34" s="44"/>
    </row>
    <row r="35" spans="1:11" s="45" customFormat="1" ht="6" customHeight="1">
      <c r="A35" s="41"/>
      <c r="B35" s="42"/>
      <c r="C35" s="43"/>
      <c r="E35" s="44"/>
      <c r="F35" s="44"/>
      <c r="G35" s="44"/>
      <c r="H35" s="44"/>
      <c r="I35" s="44"/>
      <c r="J35" s="44"/>
      <c r="K35" s="44"/>
    </row>
    <row r="36" spans="1:11" ht="12.75">
      <c r="A36" s="25" t="s">
        <v>90</v>
      </c>
      <c r="B36" s="26"/>
      <c r="C36" s="26" t="s">
        <v>79</v>
      </c>
      <c r="F36" s="26"/>
      <c r="G36" s="26"/>
      <c r="H36" s="26"/>
      <c r="I36" s="26"/>
      <c r="J36" s="26"/>
      <c r="K36" s="26"/>
    </row>
    <row r="37" spans="1:11" s="45" customFormat="1" ht="6" customHeight="1">
      <c r="A37" s="41"/>
      <c r="B37" s="42"/>
      <c r="C37" s="43"/>
      <c r="E37" s="46"/>
      <c r="F37" s="43"/>
      <c r="G37" s="43"/>
      <c r="H37" s="43"/>
      <c r="I37" s="43"/>
      <c r="J37" s="42"/>
      <c r="K37" s="42"/>
    </row>
    <row r="38" spans="1:11" s="45" customFormat="1" ht="12.75">
      <c r="A38" s="41" t="s">
        <v>23</v>
      </c>
      <c r="B38" s="42"/>
      <c r="C38" s="43" t="s">
        <v>94</v>
      </c>
      <c r="E38" s="46"/>
      <c r="F38" s="43"/>
      <c r="G38" s="43"/>
      <c r="H38" s="43"/>
      <c r="I38" s="43"/>
      <c r="J38" s="42"/>
      <c r="K38" s="42"/>
    </row>
    <row r="39" spans="1:11" s="45" customFormat="1" ht="6" customHeight="1">
      <c r="A39" s="41"/>
      <c r="B39" s="42"/>
      <c r="C39" s="43"/>
      <c r="E39" s="46"/>
      <c r="F39" s="43"/>
      <c r="G39" s="43"/>
      <c r="H39" s="43"/>
      <c r="I39" s="43"/>
      <c r="J39" s="42"/>
      <c r="K39" s="42"/>
    </row>
    <row r="40" spans="1:11" s="45" customFormat="1" ht="12.75">
      <c r="A40" s="41" t="s">
        <v>25</v>
      </c>
      <c r="B40" s="42"/>
      <c r="C40" s="42" t="s">
        <v>55</v>
      </c>
      <c r="E40" s="46"/>
      <c r="F40" s="47"/>
      <c r="G40" s="42"/>
      <c r="H40" s="42"/>
      <c r="I40" s="42"/>
      <c r="J40" s="42"/>
      <c r="K40" s="42"/>
    </row>
    <row r="41" spans="1:11" s="45" customFormat="1" ht="12.75">
      <c r="A41" s="41"/>
      <c r="B41" s="42"/>
      <c r="C41" s="42" t="s">
        <v>56</v>
      </c>
      <c r="E41" s="46"/>
      <c r="F41" s="47"/>
      <c r="G41" s="42"/>
      <c r="H41" s="42"/>
      <c r="I41" s="42"/>
      <c r="J41" s="42"/>
      <c r="K41" s="42"/>
    </row>
    <row r="42" spans="1:11" s="45" customFormat="1" ht="6" customHeight="1">
      <c r="A42" s="41"/>
      <c r="B42" s="42"/>
      <c r="C42" s="42"/>
      <c r="E42" s="46"/>
      <c r="F42" s="47"/>
      <c r="G42" s="42"/>
      <c r="H42" s="42"/>
      <c r="I42" s="42"/>
      <c r="J42" s="42"/>
      <c r="K42" s="42"/>
    </row>
    <row r="43" spans="1:11" s="45" customFormat="1" ht="12.75">
      <c r="A43" s="41" t="s">
        <v>28</v>
      </c>
      <c r="B43" s="42"/>
      <c r="C43" s="42" t="s">
        <v>29</v>
      </c>
      <c r="E43" s="46"/>
      <c r="F43" s="47"/>
      <c r="G43" s="42"/>
      <c r="H43" s="42"/>
      <c r="I43" s="42"/>
      <c r="J43" s="42"/>
      <c r="K43" s="42"/>
    </row>
    <row r="44" spans="1:11" s="45" customFormat="1" ht="6" customHeight="1">
      <c r="A44" s="41"/>
      <c r="B44" s="42"/>
      <c r="C44" s="42"/>
      <c r="D44" s="42"/>
      <c r="E44" s="46"/>
      <c r="F44" s="47"/>
      <c r="G44" s="42"/>
      <c r="H44" s="42"/>
      <c r="I44" s="42"/>
      <c r="J44" s="42"/>
      <c r="K44" s="42"/>
    </row>
    <row r="45" spans="1:11" s="45" customFormat="1" ht="12.75">
      <c r="A45" s="41" t="s">
        <v>68</v>
      </c>
      <c r="B45" s="42"/>
      <c r="C45" s="42" t="s">
        <v>69</v>
      </c>
      <c r="D45" s="46"/>
      <c r="E45" s="47"/>
      <c r="F45" s="42"/>
      <c r="G45" s="42"/>
      <c r="H45" s="42"/>
      <c r="I45" s="42"/>
      <c r="J45" s="42"/>
      <c r="K45" s="42"/>
    </row>
    <row r="46" spans="1:11" s="45" customFormat="1" ht="12.75">
      <c r="A46" s="41"/>
      <c r="B46" s="42"/>
      <c r="C46" s="42" t="s">
        <v>76</v>
      </c>
      <c r="D46" s="46"/>
      <c r="E46" s="47"/>
      <c r="F46" s="42"/>
      <c r="G46" s="42"/>
      <c r="H46" s="42"/>
      <c r="I46" s="42"/>
      <c r="J46" s="42"/>
      <c r="K46" s="42"/>
    </row>
    <row r="47" spans="1:11" s="45" customFormat="1" ht="12.75">
      <c r="A47" s="41"/>
      <c r="B47" s="42"/>
      <c r="C47" s="42" t="s">
        <v>77</v>
      </c>
      <c r="D47" s="46"/>
      <c r="E47" s="47"/>
      <c r="F47" s="42"/>
      <c r="G47" s="42"/>
      <c r="H47" s="42"/>
      <c r="I47" s="42"/>
      <c r="J47" s="42"/>
      <c r="K47" s="42"/>
    </row>
    <row r="48" spans="1:11" s="45" customFormat="1" ht="3" customHeight="1">
      <c r="A48" s="41"/>
      <c r="B48" s="42"/>
      <c r="C48" s="42"/>
      <c r="D48" s="65"/>
      <c r="E48" s="47"/>
      <c r="F48" s="42"/>
      <c r="G48" s="42"/>
      <c r="H48" s="42"/>
      <c r="I48" s="42"/>
      <c r="J48" s="42"/>
      <c r="K48" s="42"/>
    </row>
    <row r="49" spans="1:11" s="45" customFormat="1" ht="12.75" customHeight="1">
      <c r="A49" s="41"/>
      <c r="B49" s="42"/>
      <c r="C49" s="43" t="s">
        <v>115</v>
      </c>
      <c r="D49" s="43"/>
      <c r="E49" s="43"/>
      <c r="F49" s="43"/>
      <c r="G49" s="43"/>
      <c r="H49" s="43"/>
      <c r="I49" s="43"/>
      <c r="J49" s="43"/>
      <c r="K49" s="43"/>
    </row>
    <row r="50" spans="1:11" s="45" customFormat="1" ht="12.75">
      <c r="A50" s="41"/>
      <c r="B50" s="42"/>
      <c r="C50" s="43" t="s">
        <v>116</v>
      </c>
      <c r="D50" s="43"/>
      <c r="E50" s="43"/>
      <c r="F50" s="43"/>
      <c r="G50" s="43"/>
      <c r="H50" s="43"/>
      <c r="I50" s="43"/>
      <c r="J50" s="43"/>
      <c r="K50" s="43"/>
    </row>
    <row r="51" spans="1:11" s="45" customFormat="1" ht="12.75">
      <c r="A51" s="41"/>
      <c r="B51" s="42"/>
      <c r="C51" s="43" t="s">
        <v>117</v>
      </c>
      <c r="D51" s="43"/>
      <c r="E51" s="43"/>
      <c r="F51" s="43"/>
      <c r="G51" s="43"/>
      <c r="H51" s="43"/>
      <c r="I51" s="43"/>
      <c r="J51" s="43"/>
      <c r="K51" s="43"/>
    </row>
    <row r="52" spans="1:11" s="45" customFormat="1" ht="6" customHeight="1">
      <c r="A52" s="41"/>
      <c r="B52" s="42"/>
      <c r="C52" s="42"/>
      <c r="D52" s="42"/>
      <c r="E52" s="46"/>
      <c r="F52" s="47"/>
      <c r="G52" s="42"/>
      <c r="H52" s="42"/>
      <c r="I52" s="42"/>
      <c r="J52" s="42"/>
      <c r="K52" s="42"/>
    </row>
    <row r="53" spans="1:11" s="45" customFormat="1" ht="12.75">
      <c r="A53" s="41" t="s">
        <v>78</v>
      </c>
      <c r="B53" s="42"/>
      <c r="C53" s="42" t="s">
        <v>71</v>
      </c>
      <c r="D53" s="46"/>
      <c r="E53" s="47"/>
      <c r="F53" s="42"/>
      <c r="G53" s="42"/>
      <c r="H53" s="42"/>
      <c r="I53" s="42"/>
      <c r="J53" s="42"/>
      <c r="K53" s="42"/>
    </row>
    <row r="54" spans="1:11" s="45" customFormat="1" ht="12.75">
      <c r="A54" s="48"/>
      <c r="B54" s="42"/>
      <c r="C54" s="42" t="s">
        <v>72</v>
      </c>
      <c r="D54" s="46"/>
      <c r="E54" s="47"/>
      <c r="F54" s="42"/>
      <c r="G54" s="42"/>
      <c r="H54" s="42"/>
      <c r="I54" s="42"/>
      <c r="J54" s="42"/>
      <c r="K54" s="42"/>
    </row>
    <row r="55" spans="1:11" s="45" customFormat="1" ht="12.75">
      <c r="A55" s="41"/>
      <c r="B55" s="42"/>
      <c r="C55" s="42"/>
      <c r="E55" s="46"/>
      <c r="F55" s="47"/>
      <c r="G55" s="42"/>
      <c r="H55" s="42"/>
      <c r="I55" s="42"/>
      <c r="J55" s="42"/>
      <c r="K55" s="42"/>
    </row>
    <row r="56" spans="1:11" s="45" customFormat="1" ht="12.75">
      <c r="A56" s="41" t="s">
        <v>118</v>
      </c>
      <c r="B56" s="16"/>
      <c r="C56" s="64" t="s">
        <v>119</v>
      </c>
      <c r="D56" s="16"/>
      <c r="E56" s="16"/>
      <c r="F56" s="17"/>
      <c r="G56" s="16"/>
      <c r="H56" s="16"/>
      <c r="I56" s="16"/>
      <c r="J56" s="16"/>
      <c r="K56" s="16"/>
    </row>
    <row r="57" spans="1:11" s="45" customFormat="1" ht="12.75">
      <c r="A57" s="3"/>
      <c r="B57" s="16"/>
      <c r="C57" s="66"/>
      <c r="D57" s="16"/>
      <c r="E57" s="16"/>
      <c r="F57" s="17"/>
      <c r="G57" s="16"/>
      <c r="H57" s="16"/>
      <c r="I57" s="16"/>
      <c r="J57" s="16"/>
      <c r="K57" s="16"/>
    </row>
    <row r="58" spans="1:11" s="45" customFormat="1" ht="12.75">
      <c r="A58" s="41" t="s">
        <v>103</v>
      </c>
      <c r="B58" s="42"/>
      <c r="C58" s="23" t="s">
        <v>104</v>
      </c>
      <c r="E58" s="46"/>
      <c r="F58" s="47"/>
      <c r="G58" s="42"/>
      <c r="H58" s="42"/>
      <c r="I58" s="42"/>
      <c r="J58" s="42"/>
      <c r="K58" s="42"/>
    </row>
    <row r="59" spans="1:11" s="45" customFormat="1" ht="12.75">
      <c r="A59" s="48"/>
      <c r="B59" s="42"/>
      <c r="C59" s="16" t="s">
        <v>105</v>
      </c>
      <c r="E59" s="46"/>
      <c r="F59" s="47"/>
      <c r="G59" s="42"/>
      <c r="H59" s="42"/>
      <c r="I59" s="42"/>
      <c r="J59" s="42"/>
      <c r="K59" s="42"/>
    </row>
    <row r="60" spans="1:11" ht="12.75">
      <c r="A60" s="28"/>
      <c r="B60" s="26"/>
      <c r="C60" s="26"/>
      <c r="D60" s="26"/>
      <c r="F60" s="27"/>
      <c r="G60" s="26"/>
      <c r="H60" s="26"/>
      <c r="I60" s="26"/>
      <c r="J60" s="26"/>
      <c r="K60" s="26"/>
    </row>
    <row r="61" spans="1:11" ht="12.75">
      <c r="A61" s="81" t="s">
        <v>31</v>
      </c>
      <c r="B61" s="82"/>
      <c r="C61" s="82"/>
      <c r="D61" s="82"/>
      <c r="E61" s="82"/>
      <c r="F61" s="82"/>
      <c r="G61" s="82"/>
      <c r="H61" s="82"/>
      <c r="I61" s="82"/>
      <c r="J61" s="82"/>
      <c r="K61" s="82"/>
    </row>
    <row r="62" ht="12.75">
      <c r="A62" s="24"/>
    </row>
    <row r="63" spans="1:9" ht="13.5">
      <c r="A63" s="32"/>
      <c r="D63" s="10" t="s">
        <v>9</v>
      </c>
      <c r="E63" s="53" t="s">
        <v>74</v>
      </c>
      <c r="F63" s="83" t="s">
        <v>83</v>
      </c>
      <c r="G63" s="83"/>
      <c r="H63" s="83"/>
      <c r="I63" s="83"/>
    </row>
    <row r="64" spans="1:9" ht="12.75">
      <c r="A64" s="35"/>
      <c r="D64" s="8" t="s">
        <v>17</v>
      </c>
      <c r="E64" s="54" t="s">
        <v>75</v>
      </c>
      <c r="F64" s="8" t="s">
        <v>80</v>
      </c>
      <c r="G64" s="57" t="s">
        <v>81</v>
      </c>
      <c r="H64" s="36"/>
      <c r="I64" s="8" t="s">
        <v>82</v>
      </c>
    </row>
    <row r="65" spans="2:9" ht="12.75">
      <c r="B65" s="37"/>
      <c r="C65" s="37"/>
      <c r="D65" s="55">
        <f>27.6%+6.4%</f>
        <v>0.34</v>
      </c>
      <c r="E65" s="55">
        <v>0.1</v>
      </c>
      <c r="F65" s="55">
        <v>0.46</v>
      </c>
      <c r="G65" s="58">
        <v>0.0875</v>
      </c>
      <c r="H65" s="56"/>
      <c r="I65" s="55">
        <v>0.0125</v>
      </c>
    </row>
    <row r="66" spans="1:11" s="23" customFormat="1" ht="12.75">
      <c r="A66" s="3"/>
      <c r="B66" s="37"/>
      <c r="C66" s="37"/>
      <c r="D66" s="37"/>
      <c r="E66" s="26"/>
      <c r="F66" s="27"/>
      <c r="G66" s="38"/>
      <c r="H66" s="26"/>
      <c r="I66" s="38"/>
      <c r="J66" s="38"/>
      <c r="K66" s="38"/>
    </row>
    <row r="67" spans="1:11" ht="12.75">
      <c r="A67" s="84" t="s">
        <v>39</v>
      </c>
      <c r="B67" s="85"/>
      <c r="C67" s="85"/>
      <c r="D67" s="85"/>
      <c r="E67" s="85"/>
      <c r="F67" s="85"/>
      <c r="G67" s="85"/>
      <c r="H67" s="85"/>
      <c r="I67" s="85"/>
      <c r="J67" s="85"/>
      <c r="K67" s="85"/>
    </row>
    <row r="68" spans="1:6" ht="9.75" customHeight="1">
      <c r="A68" s="24"/>
      <c r="E68"/>
      <c r="F68" s="16"/>
    </row>
    <row r="69" spans="1:11" ht="54" customHeight="1">
      <c r="A69" s="86" t="s">
        <v>127</v>
      </c>
      <c r="B69" s="87"/>
      <c r="C69" s="87"/>
      <c r="D69" s="87"/>
      <c r="E69" s="87"/>
      <c r="F69" s="87"/>
      <c r="G69" s="87"/>
      <c r="H69" s="87"/>
      <c r="I69" s="87"/>
      <c r="J69" s="87"/>
      <c r="K69" s="87"/>
    </row>
    <row r="70" spans="1:6" ht="12.75">
      <c r="A70" s="16"/>
      <c r="E70"/>
      <c r="F70" s="16"/>
    </row>
    <row r="71" spans="2:5" ht="12.75">
      <c r="B71" s="24" t="s">
        <v>40</v>
      </c>
      <c r="C71" s="24"/>
      <c r="D71" s="24"/>
      <c r="E71" s="16">
        <v>137103</v>
      </c>
    </row>
    <row r="72" spans="2:5" ht="12.75">
      <c r="B72" s="24" t="s">
        <v>41</v>
      </c>
      <c r="C72" s="24"/>
      <c r="D72" s="24"/>
      <c r="E72" s="16">
        <v>231788</v>
      </c>
    </row>
    <row r="73" spans="2:5" ht="12.75">
      <c r="B73" s="16" t="s">
        <v>42</v>
      </c>
      <c r="E73" s="16">
        <v>256796</v>
      </c>
    </row>
    <row r="74" ht="7.5" customHeight="1">
      <c r="E74" s="16" t="s">
        <v>36</v>
      </c>
    </row>
    <row r="76" spans="1:11" s="70" customFormat="1" ht="16.5" customHeight="1">
      <c r="A76" s="67" t="s">
        <v>91</v>
      </c>
      <c r="B76" s="68"/>
      <c r="C76" s="68"/>
      <c r="D76" s="68"/>
      <c r="E76" s="68"/>
      <c r="F76" s="69"/>
      <c r="G76" s="68"/>
      <c r="H76" s="68"/>
      <c r="I76" s="68"/>
      <c r="J76" s="68"/>
      <c r="K76" s="68"/>
    </row>
  </sheetData>
  <sheetProtection/>
  <mergeCells count="12">
    <mergeCell ref="I10:K10"/>
    <mergeCell ref="A31:K31"/>
    <mergeCell ref="A61:K61"/>
    <mergeCell ref="F63:I63"/>
    <mergeCell ref="A67:K67"/>
    <mergeCell ref="A69:K69"/>
    <mergeCell ref="A1:K1"/>
    <mergeCell ref="A2:K2"/>
    <mergeCell ref="A3:K3"/>
    <mergeCell ref="A4:K4"/>
    <mergeCell ref="A5:K5"/>
    <mergeCell ref="A8:K8"/>
  </mergeCells>
  <hyperlinks>
    <hyperlink ref="A4" r:id="rId1" display="www.vernondowns.com"/>
  </hyperlinks>
  <printOptions horizontalCentered="1"/>
  <pageMargins left="0.25" right="0.25" top="0.75" bottom="0.5" header="0.5" footer="0.5"/>
  <pageSetup fitToHeight="1" fitToWidth="1" horizontalDpi="600" verticalDpi="600" orientation="portrait" scale="75" r:id="rId3"/>
  <ignoredErrors>
    <ignoredError sqref="G16 G20:G21 G22" formula="1"/>
  </ignoredErrors>
  <drawing r:id="rId2"/>
</worksheet>
</file>

<file path=xl/worksheets/sheet10.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46">
      <selection activeCell="A28" sqref="A28"/>
    </sheetView>
  </sheetViews>
  <sheetFormatPr defaultColWidth="9.140625" defaultRowHeight="12.75"/>
  <cols>
    <col min="1" max="1" width="9.28125" style="3" customWidth="1"/>
    <col min="2" max="2" width="14.140625" style="16" customWidth="1"/>
    <col min="3" max="3" width="13.57421875" style="16" customWidth="1"/>
    <col min="4" max="4" width="14.140625" style="16" customWidth="1"/>
    <col min="5" max="5" width="12.7109375" style="16" customWidth="1"/>
    <col min="6" max="6" width="8.57421875" style="17" customWidth="1"/>
    <col min="7" max="7" width="9.57421875" style="16" customWidth="1"/>
    <col min="8" max="8" width="1.421875" style="16" customWidth="1"/>
    <col min="9" max="9" width="13.00390625" style="16" customWidth="1"/>
    <col min="10" max="10" width="12.7109375" style="16" customWidth="1"/>
    <col min="11" max="12" width="12.8515625" style="16" bestFit="1" customWidth="1"/>
    <col min="13" max="13" width="11.28125" style="16" customWidth="1"/>
    <col min="14" max="14" width="12.7109375" style="0" customWidth="1"/>
  </cols>
  <sheetData>
    <row r="1" spans="1:13" ht="18">
      <c r="A1" s="77" t="s">
        <v>52</v>
      </c>
      <c r="B1" s="77"/>
      <c r="C1" s="77"/>
      <c r="D1" s="77"/>
      <c r="E1" s="77"/>
      <c r="F1" s="77"/>
      <c r="G1" s="77"/>
      <c r="H1" s="77"/>
      <c r="I1" s="77"/>
      <c r="J1" s="77"/>
      <c r="K1" s="77"/>
      <c r="L1" s="77"/>
      <c r="M1" s="77"/>
    </row>
    <row r="2" spans="1:13" ht="15">
      <c r="A2" s="78" t="s">
        <v>0</v>
      </c>
      <c r="B2" s="78"/>
      <c r="C2" s="78"/>
      <c r="D2" s="78"/>
      <c r="E2" s="78"/>
      <c r="F2" s="78"/>
      <c r="G2" s="78"/>
      <c r="H2" s="78"/>
      <c r="I2" s="78"/>
      <c r="J2" s="78"/>
      <c r="K2" s="78"/>
      <c r="L2" s="78"/>
      <c r="M2" s="78"/>
    </row>
    <row r="3" spans="1:13" s="1" customFormat="1" ht="15">
      <c r="A3" s="78" t="s">
        <v>1</v>
      </c>
      <c r="B3" s="78"/>
      <c r="C3" s="78"/>
      <c r="D3" s="78"/>
      <c r="E3" s="78"/>
      <c r="F3" s="78"/>
      <c r="G3" s="78"/>
      <c r="H3" s="78"/>
      <c r="I3" s="78"/>
      <c r="J3" s="78"/>
      <c r="K3" s="78"/>
      <c r="L3" s="78"/>
      <c r="M3" s="78"/>
    </row>
    <row r="4" spans="1:13" s="1" customFormat="1" ht="14.25" customHeight="1">
      <c r="A4" s="79" t="s">
        <v>2</v>
      </c>
      <c r="B4" s="79"/>
      <c r="C4" s="79"/>
      <c r="D4" s="79"/>
      <c r="E4" s="79"/>
      <c r="F4" s="79"/>
      <c r="G4" s="79"/>
      <c r="H4" s="79"/>
      <c r="I4" s="79"/>
      <c r="J4" s="79"/>
      <c r="K4" s="79"/>
      <c r="L4" s="79"/>
      <c r="M4" s="79"/>
    </row>
    <row r="5" spans="1:13" s="1" customFormat="1" ht="14.25">
      <c r="A5" s="80" t="s">
        <v>84</v>
      </c>
      <c r="B5" s="80"/>
      <c r="C5" s="80"/>
      <c r="D5" s="80"/>
      <c r="E5" s="80"/>
      <c r="F5" s="80"/>
      <c r="G5" s="80"/>
      <c r="H5" s="80"/>
      <c r="I5" s="80"/>
      <c r="J5" s="80"/>
      <c r="K5" s="80"/>
      <c r="L5" s="80"/>
      <c r="M5" s="80"/>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81" t="s">
        <v>95</v>
      </c>
      <c r="B8" s="82"/>
      <c r="C8" s="82"/>
      <c r="D8" s="82"/>
      <c r="E8" s="82"/>
      <c r="F8" s="82"/>
      <c r="G8" s="82"/>
      <c r="H8" s="82"/>
      <c r="I8" s="82"/>
      <c r="J8" s="82"/>
      <c r="K8" s="82"/>
      <c r="L8" s="82"/>
      <c r="M8" s="88"/>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83" t="s">
        <v>5</v>
      </c>
      <c r="J10" s="83"/>
      <c r="K10" s="83"/>
      <c r="L10" s="83"/>
      <c r="M10" s="83"/>
    </row>
    <row r="11" spans="1:13" s="1" customFormat="1" ht="12.75">
      <c r="A11" s="3"/>
      <c r="B11" s="5"/>
      <c r="C11" s="5"/>
      <c r="D11" s="5"/>
      <c r="E11" s="5"/>
      <c r="F11" s="6"/>
      <c r="G11" s="5"/>
      <c r="H11" s="5"/>
      <c r="I11" s="5"/>
      <c r="J11" s="5"/>
      <c r="K11" s="5"/>
      <c r="L11" s="5"/>
      <c r="M11" s="5"/>
    </row>
    <row r="12" spans="1:13" s="12" customFormat="1" ht="12">
      <c r="A12" s="9"/>
      <c r="B12" s="10" t="s">
        <v>6</v>
      </c>
      <c r="C12" s="10" t="s">
        <v>65</v>
      </c>
      <c r="D12" s="10" t="s">
        <v>6</v>
      </c>
      <c r="E12" s="10"/>
      <c r="F12" s="11" t="s">
        <v>7</v>
      </c>
      <c r="G12" s="10" t="s">
        <v>8</v>
      </c>
      <c r="H12" s="10"/>
      <c r="I12" s="10" t="s">
        <v>9</v>
      </c>
      <c r="J12" s="10" t="s">
        <v>73</v>
      </c>
      <c r="K12" s="10" t="s">
        <v>10</v>
      </c>
      <c r="L12" s="10" t="s">
        <v>74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75</v>
      </c>
      <c r="M13" s="8" t="s">
        <v>46</v>
      </c>
    </row>
    <row r="15" spans="1:13" ht="12.75">
      <c r="A15" s="3">
        <v>41730</v>
      </c>
      <c r="B15" s="16">
        <v>44747695.16</v>
      </c>
      <c r="C15" s="16">
        <f>366530.51-95708</f>
        <v>270822.51</v>
      </c>
      <c r="D15" s="16">
        <f aca="true" t="shared" si="0" ref="D15:D26">+B15-C15-E15</f>
        <v>40687605.44</v>
      </c>
      <c r="E15" s="16">
        <v>3789267.21</v>
      </c>
      <c r="F15" s="17">
        <v>767</v>
      </c>
      <c r="G15" s="16">
        <f>E15/F15/30</f>
        <v>164.67914863103</v>
      </c>
      <c r="I15" s="16">
        <v>1326243.54</v>
      </c>
      <c r="J15" s="16">
        <v>1553599.55</v>
      </c>
      <c r="K15" s="16">
        <v>378926.73</v>
      </c>
      <c r="L15" s="16">
        <v>378926.72</v>
      </c>
      <c r="M15" s="16">
        <v>151570.68</v>
      </c>
    </row>
    <row r="16" spans="1:13" ht="12.75">
      <c r="A16" s="3">
        <v>41760</v>
      </c>
      <c r="B16" s="16">
        <v>46733905.69</v>
      </c>
      <c r="C16" s="16">
        <v>428409.92</v>
      </c>
      <c r="D16" s="16">
        <f t="shared" si="0"/>
        <v>42547055.33</v>
      </c>
      <c r="E16" s="16">
        <v>3758440.44</v>
      </c>
      <c r="F16" s="17">
        <v>767</v>
      </c>
      <c r="G16" s="16">
        <f>E16/F16/31</f>
        <v>158.07042267737728</v>
      </c>
      <c r="I16" s="16">
        <v>1315454.17</v>
      </c>
      <c r="J16" s="16">
        <v>1540960.57</v>
      </c>
      <c r="K16" s="16">
        <v>375844.06</v>
      </c>
      <c r="L16" s="16">
        <v>375844.06</v>
      </c>
      <c r="M16" s="16">
        <v>150337.67</v>
      </c>
    </row>
    <row r="17" spans="1:13" ht="12.75">
      <c r="A17" s="3">
        <v>41791</v>
      </c>
      <c r="B17" s="16">
        <v>42701969.91</v>
      </c>
      <c r="C17" s="16">
        <v>400332.79</v>
      </c>
      <c r="D17" s="16">
        <f t="shared" si="0"/>
        <v>38854817.199999996</v>
      </c>
      <c r="E17" s="16">
        <v>3446819.92</v>
      </c>
      <c r="F17" s="17">
        <v>767</v>
      </c>
      <c r="G17" s="16">
        <f>E17/F17/30</f>
        <v>149.7966066927423</v>
      </c>
      <c r="I17" s="16">
        <v>1206387</v>
      </c>
      <c r="J17" s="16">
        <v>1413196.16</v>
      </c>
      <c r="K17" s="16">
        <v>344682.01</v>
      </c>
      <c r="L17" s="16">
        <v>344682</v>
      </c>
      <c r="M17" s="16">
        <v>137872.8</v>
      </c>
    </row>
    <row r="18" spans="1:13" ht="12.75">
      <c r="A18" s="3">
        <v>41821</v>
      </c>
      <c r="B18" s="16">
        <v>46117086.55</v>
      </c>
      <c r="C18" s="16">
        <f>397077.85-3580</f>
        <v>393497.85</v>
      </c>
      <c r="D18" s="16">
        <f t="shared" si="0"/>
        <v>42003853.8</v>
      </c>
      <c r="E18" s="16">
        <v>3719734.9</v>
      </c>
      <c r="F18" s="17">
        <v>767</v>
      </c>
      <c r="G18" s="16">
        <f>E18/F18/31</f>
        <v>156.4425663456281</v>
      </c>
      <c r="I18" s="16">
        <v>1301907.22</v>
      </c>
      <c r="J18" s="16">
        <v>1525091.28</v>
      </c>
      <c r="K18" s="16">
        <v>371973.49</v>
      </c>
      <c r="L18" s="16">
        <v>371973.49</v>
      </c>
      <c r="M18" s="16">
        <v>148789.39</v>
      </c>
    </row>
    <row r="19" spans="1:13" ht="12.75">
      <c r="A19" s="3">
        <v>41852</v>
      </c>
      <c r="B19" s="16">
        <v>50303168.43</v>
      </c>
      <c r="C19" s="16">
        <f>514071.05-13470</f>
        <v>500601.05</v>
      </c>
      <c r="D19" s="16">
        <f t="shared" si="0"/>
        <v>45830072.400000006</v>
      </c>
      <c r="E19" s="16">
        <v>3972494.98</v>
      </c>
      <c r="F19" s="17">
        <v>767</v>
      </c>
      <c r="G19" s="16">
        <f>E19/F19/31</f>
        <v>167.0730108928797</v>
      </c>
      <c r="I19" s="16">
        <v>1390373.28</v>
      </c>
      <c r="J19" s="16">
        <v>1628722.97</v>
      </c>
      <c r="K19" s="16">
        <v>397249.52</v>
      </c>
      <c r="L19" s="16">
        <v>397249.51</v>
      </c>
      <c r="M19" s="16">
        <v>158899.79</v>
      </c>
    </row>
    <row r="20" spans="1:13" ht="12.75">
      <c r="A20" s="3">
        <v>41883</v>
      </c>
      <c r="B20" s="16">
        <v>43400818.6</v>
      </c>
      <c r="C20" s="16">
        <v>455990.73</v>
      </c>
      <c r="D20" s="16">
        <f t="shared" si="0"/>
        <v>39562581.36000001</v>
      </c>
      <c r="E20" s="16">
        <v>3382246.51</v>
      </c>
      <c r="F20" s="17">
        <v>767</v>
      </c>
      <c r="G20" s="16">
        <f>E20/F20/30</f>
        <v>146.99028726640591</v>
      </c>
      <c r="I20" s="16">
        <v>1183786.28</v>
      </c>
      <c r="J20" s="16">
        <v>1386721.09</v>
      </c>
      <c r="K20" s="16">
        <v>338224.69</v>
      </c>
      <c r="L20" s="16">
        <v>338224.69</v>
      </c>
      <c r="M20" s="16">
        <v>135289.86</v>
      </c>
    </row>
    <row r="21" spans="1:13" ht="12.75">
      <c r="A21" s="3">
        <v>41913</v>
      </c>
      <c r="B21" s="16">
        <v>45350182.47</v>
      </c>
      <c r="C21" s="16">
        <f>481743.65-23883.1</f>
        <v>457860.55000000005</v>
      </c>
      <c r="D21" s="16">
        <f t="shared" si="0"/>
        <v>41325675.27</v>
      </c>
      <c r="E21" s="16">
        <v>3566646.65</v>
      </c>
      <c r="F21" s="17">
        <v>767</v>
      </c>
      <c r="G21" s="16">
        <f>E21/F21/31</f>
        <v>150.0040648525886</v>
      </c>
      <c r="I21" s="16">
        <v>1248326.36</v>
      </c>
      <c r="J21" s="16">
        <v>1462325.17</v>
      </c>
      <c r="K21" s="16">
        <v>356664.67</v>
      </c>
      <c r="L21" s="16">
        <v>356664.67</v>
      </c>
      <c r="M21" s="16">
        <v>142665.87</v>
      </c>
    </row>
    <row r="22" spans="1:13" ht="12.75">
      <c r="A22" s="3">
        <v>41944</v>
      </c>
      <c r="B22" s="16">
        <v>38444487.54</v>
      </c>
      <c r="C22" s="16">
        <v>400331.62</v>
      </c>
      <c r="D22" s="16">
        <f t="shared" si="0"/>
        <v>34970440.190000005</v>
      </c>
      <c r="E22" s="16">
        <v>3073715.73</v>
      </c>
      <c r="F22" s="17">
        <v>767</v>
      </c>
      <c r="G22" s="16">
        <f>E22/F22/30</f>
        <v>133.58173533246415</v>
      </c>
      <c r="I22" s="16">
        <v>1075800.51</v>
      </c>
      <c r="J22" s="16">
        <v>1260223.44</v>
      </c>
      <c r="K22" s="16">
        <v>307371.6</v>
      </c>
      <c r="L22" s="16">
        <v>307371.6</v>
      </c>
      <c r="M22" s="16">
        <v>122948.63</v>
      </c>
    </row>
    <row r="23" spans="1:13" ht="12.75">
      <c r="A23" s="3">
        <v>41974</v>
      </c>
      <c r="B23" s="16">
        <v>38375317.26</v>
      </c>
      <c r="C23" s="16">
        <f>403832.26-3590</f>
        <v>400242.26</v>
      </c>
      <c r="D23" s="16">
        <f t="shared" si="0"/>
        <v>35006034.04</v>
      </c>
      <c r="E23" s="16">
        <v>2969040.96</v>
      </c>
      <c r="F23" s="17">
        <v>767</v>
      </c>
      <c r="G23" s="16">
        <f>E23/F23/31</f>
        <v>124.87029314042984</v>
      </c>
      <c r="I23" s="16">
        <v>1039164.35</v>
      </c>
      <c r="J23" s="16">
        <v>1217306.78</v>
      </c>
      <c r="K23" s="16">
        <v>296904.09</v>
      </c>
      <c r="L23" s="16">
        <v>296904.09</v>
      </c>
      <c r="M23" s="16">
        <v>118761.67</v>
      </c>
    </row>
    <row r="24" spans="1:13" ht="12.75">
      <c r="A24" s="3">
        <v>42005</v>
      </c>
      <c r="B24" s="16">
        <v>38624696.22</v>
      </c>
      <c r="C24" s="16">
        <v>432017.98</v>
      </c>
      <c r="D24" s="16">
        <f t="shared" si="0"/>
        <v>35232951.620000005</v>
      </c>
      <c r="E24" s="16">
        <v>2959726.62</v>
      </c>
      <c r="F24" s="17">
        <v>767</v>
      </c>
      <c r="G24" s="16">
        <f>E24/F24/31</f>
        <v>124.47855574715061</v>
      </c>
      <c r="I24" s="16">
        <f>1035904.35-0.4</f>
        <v>1035903.95</v>
      </c>
      <c r="J24" s="16">
        <v>1213487.86</v>
      </c>
      <c r="K24" s="16">
        <v>295972.7</v>
      </c>
      <c r="L24" s="16">
        <v>295973.7</v>
      </c>
      <c r="M24" s="16">
        <v>118389.05</v>
      </c>
    </row>
    <row r="25" spans="1:13" ht="12.75">
      <c r="A25" s="3">
        <v>42036</v>
      </c>
      <c r="B25" s="16">
        <v>34975995.83</v>
      </c>
      <c r="C25" s="16">
        <f>387377.89-3668.4</f>
        <v>383709.49</v>
      </c>
      <c r="D25" s="16">
        <f t="shared" si="0"/>
        <v>31892358.889999997</v>
      </c>
      <c r="E25" s="16">
        <v>2699927.45</v>
      </c>
      <c r="F25" s="17">
        <v>767</v>
      </c>
      <c r="G25" s="16">
        <f>E25/F25/28</f>
        <v>125.71835770162042</v>
      </c>
      <c r="I25" s="16">
        <v>944974.64</v>
      </c>
      <c r="J25" s="16">
        <v>1106970.25</v>
      </c>
      <c r="K25" s="16">
        <v>269992.76</v>
      </c>
      <c r="L25" s="16">
        <v>269992.74</v>
      </c>
      <c r="M25" s="16">
        <v>107997.1</v>
      </c>
    </row>
    <row r="26" spans="1:13" ht="12.75">
      <c r="A26" s="3">
        <v>42064</v>
      </c>
      <c r="B26" s="16">
        <v>45884515.09</v>
      </c>
      <c r="C26" s="16">
        <f>467241.47-3580</f>
        <v>463661.47</v>
      </c>
      <c r="D26" s="16">
        <f t="shared" si="0"/>
        <v>41875392.11000001</v>
      </c>
      <c r="E26" s="16">
        <v>3545461.51</v>
      </c>
      <c r="F26" s="17">
        <v>767</v>
      </c>
      <c r="G26" s="16">
        <f>E26/F26/31</f>
        <v>149.11307187618283</v>
      </c>
      <c r="I26" s="16">
        <v>1240911.55</v>
      </c>
      <c r="J26" s="16">
        <v>1453639.24</v>
      </c>
      <c r="K26" s="16">
        <v>354546.16</v>
      </c>
      <c r="L26" s="16">
        <v>354546.16</v>
      </c>
      <c r="M26" s="16">
        <v>141818.47</v>
      </c>
    </row>
    <row r="27" spans="1:13" ht="13.5" thickBot="1">
      <c r="A27" s="3" t="s">
        <v>20</v>
      </c>
      <c r="B27" s="18">
        <f>SUM(B15:B26)</f>
        <v>515659838.75</v>
      </c>
      <c r="C27" s="18">
        <f>SUM(C15:C26)</f>
        <v>4987478.219999999</v>
      </c>
      <c r="D27" s="18">
        <f>SUM(D15:D26)</f>
        <v>469788837.65000004</v>
      </c>
      <c r="E27" s="59">
        <f>SUM(E15:E26)</f>
        <v>40883522.88</v>
      </c>
      <c r="I27" s="18">
        <f>SUM(I15:I26)</f>
        <v>14309232.85</v>
      </c>
      <c r="J27" s="18">
        <f>SUM(J15:J26)</f>
        <v>16762244.36</v>
      </c>
      <c r="K27" s="18">
        <f>SUM(K15:K26)</f>
        <v>4088352.4800000004</v>
      </c>
      <c r="L27" s="18">
        <f>SUM(L15:L26)</f>
        <v>4088353.4300000006</v>
      </c>
      <c r="M27" s="18">
        <f>SUM(M15:M26)</f>
        <v>1635340.98</v>
      </c>
    </row>
    <row r="28" spans="2:13" ht="10.5" customHeight="1" thickTop="1">
      <c r="B28" s="19"/>
      <c r="C28" s="19"/>
      <c r="D28" s="19"/>
      <c r="E28" s="19"/>
      <c r="I28" s="19"/>
      <c r="J28" s="19"/>
      <c r="K28" s="19"/>
      <c r="L28" s="19"/>
      <c r="M28" s="19"/>
    </row>
    <row r="29" spans="1:13" s="22" customFormat="1" ht="12.75">
      <c r="A29" s="20"/>
      <c r="B29" s="21"/>
      <c r="C29" s="21">
        <f>C27/B27</f>
        <v>0.00967203153165862</v>
      </c>
      <c r="D29" s="21">
        <f>D27/B27</f>
        <v>0.911044068874561</v>
      </c>
      <c r="E29" s="21">
        <f>E27/B27</f>
        <v>0.07928389959378042</v>
      </c>
      <c r="I29" s="21">
        <f>I27/$E$27</f>
        <v>0.34999999613536237</v>
      </c>
      <c r="J29" s="21">
        <f>J27/$E$27</f>
        <v>0.40999999949123755</v>
      </c>
      <c r="K29" s="21">
        <f>K27/$E$27</f>
        <v>0.10000000469626849</v>
      </c>
      <c r="L29" s="21">
        <f>L27/$E$27</f>
        <v>0.10000002793301359</v>
      </c>
      <c r="M29" s="21">
        <f>M27/$E$27</f>
        <v>0.04000000158499061</v>
      </c>
    </row>
    <row r="31" spans="1:13" s="23" customFormat="1" ht="12.75">
      <c r="A31" s="81" t="s">
        <v>21</v>
      </c>
      <c r="B31" s="82"/>
      <c r="C31" s="82"/>
      <c r="D31" s="82"/>
      <c r="E31" s="82"/>
      <c r="F31" s="82"/>
      <c r="G31" s="82"/>
      <c r="H31" s="82"/>
      <c r="I31" s="82"/>
      <c r="J31" s="82"/>
      <c r="K31" s="82"/>
      <c r="L31" s="82"/>
      <c r="M31" s="88"/>
    </row>
    <row r="32" ht="12.75">
      <c r="A32" s="24"/>
    </row>
    <row r="33" spans="1:12" s="45" customFormat="1" ht="12.75" customHeight="1">
      <c r="A33" s="41" t="s">
        <v>22</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79</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23</v>
      </c>
      <c r="B38" s="42"/>
      <c r="C38" s="43" t="s">
        <v>94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25</v>
      </c>
      <c r="B40" s="42"/>
      <c r="C40" s="42" t="s">
        <v>55</v>
      </c>
      <c r="E40" s="46"/>
      <c r="F40" s="47"/>
      <c r="G40" s="42"/>
      <c r="H40" s="42"/>
      <c r="I40" s="42"/>
      <c r="J40" s="42"/>
      <c r="K40" s="42"/>
      <c r="L40" s="42"/>
      <c r="M40" s="42"/>
    </row>
    <row r="41" spans="1:13" s="45" customFormat="1" ht="12.75">
      <c r="A41" s="41"/>
      <c r="B41" s="42"/>
      <c r="C41" s="42" t="s">
        <v>56</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28</v>
      </c>
      <c r="B43" s="42"/>
      <c r="C43" s="42" t="s">
        <v>29</v>
      </c>
      <c r="E43" s="46"/>
      <c r="F43" s="47"/>
      <c r="G43" s="42"/>
      <c r="H43" s="42"/>
      <c r="I43" s="42"/>
      <c r="J43" s="42"/>
      <c r="K43" s="42"/>
      <c r="L43" s="42"/>
      <c r="M43" s="42"/>
    </row>
    <row r="44" spans="1:13" s="45" customFormat="1" ht="6" customHeight="1">
      <c r="A44" s="41"/>
      <c r="B44" s="42"/>
      <c r="C44" s="42"/>
      <c r="D44" s="42"/>
      <c r="E44" s="46"/>
      <c r="F44" s="47"/>
      <c r="G44" s="42"/>
      <c r="H44" s="42"/>
      <c r="I44" s="42"/>
      <c r="J44" s="42"/>
      <c r="K44" s="42"/>
      <c r="L44" s="42"/>
      <c r="M44" s="42"/>
    </row>
    <row r="45" spans="1:12" s="45" customFormat="1" ht="12.75">
      <c r="A45" s="41" t="s">
        <v>68</v>
      </c>
      <c r="B45" s="42"/>
      <c r="C45" s="42" t="s">
        <v>69</v>
      </c>
      <c r="D45" s="46"/>
      <c r="E45" s="47"/>
      <c r="F45" s="42"/>
      <c r="G45" s="42"/>
      <c r="H45" s="42"/>
      <c r="I45" s="42"/>
      <c r="J45" s="42"/>
      <c r="K45" s="42"/>
      <c r="L45" s="42"/>
    </row>
    <row r="46" spans="1:12" s="45" customFormat="1" ht="12.75">
      <c r="A46" s="41"/>
      <c r="B46" s="42"/>
      <c r="C46" s="42" t="s">
        <v>76</v>
      </c>
      <c r="D46" s="46"/>
      <c r="E46" s="47"/>
      <c r="F46" s="42"/>
      <c r="G46" s="42"/>
      <c r="H46" s="42"/>
      <c r="I46" s="42"/>
      <c r="J46" s="42"/>
      <c r="K46" s="42"/>
      <c r="L46" s="42"/>
    </row>
    <row r="47" spans="1:12" s="45" customFormat="1" ht="12.75">
      <c r="A47" s="41"/>
      <c r="B47" s="42"/>
      <c r="C47" s="42" t="s">
        <v>77</v>
      </c>
      <c r="D47" s="46"/>
      <c r="E47" s="47"/>
      <c r="F47" s="42"/>
      <c r="G47" s="42"/>
      <c r="H47" s="42"/>
      <c r="I47" s="42"/>
      <c r="J47" s="42"/>
      <c r="K47" s="42"/>
      <c r="L47" s="42"/>
    </row>
    <row r="48" spans="1:13" s="45" customFormat="1" ht="6" customHeight="1">
      <c r="A48" s="41"/>
      <c r="B48" s="42"/>
      <c r="C48" s="42"/>
      <c r="D48" s="42"/>
      <c r="E48" s="46"/>
      <c r="F48" s="47"/>
      <c r="G48" s="42"/>
      <c r="H48" s="42"/>
      <c r="I48" s="42"/>
      <c r="J48" s="42"/>
      <c r="K48" s="42"/>
      <c r="L48" s="42"/>
      <c r="M48" s="42"/>
    </row>
    <row r="49" spans="1:12" s="45" customFormat="1" ht="12.75">
      <c r="A49" s="41" t="s">
        <v>30</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3" s="45" customFormat="1" ht="6" customHeight="1">
      <c r="A51" s="41"/>
      <c r="B51" s="42"/>
      <c r="C51" s="42"/>
      <c r="D51" s="42"/>
      <c r="E51" s="46"/>
      <c r="F51" s="47"/>
      <c r="G51" s="42"/>
      <c r="H51" s="42"/>
      <c r="I51" s="42"/>
      <c r="J51" s="42"/>
      <c r="K51" s="42"/>
      <c r="L51" s="42"/>
      <c r="M51" s="42"/>
    </row>
    <row r="52" spans="1:12" s="45" customFormat="1" ht="12.75">
      <c r="A52" s="41" t="s">
        <v>78</v>
      </c>
      <c r="B52" s="42"/>
      <c r="C52" s="42" t="s">
        <v>71</v>
      </c>
      <c r="D52" s="46"/>
      <c r="E52" s="47"/>
      <c r="F52" s="42"/>
      <c r="G52" s="42"/>
      <c r="H52" s="42"/>
      <c r="I52" s="42"/>
      <c r="J52" s="42"/>
      <c r="K52" s="42"/>
      <c r="L52" s="42"/>
    </row>
    <row r="53" spans="1:12" s="45" customFormat="1" ht="12.75">
      <c r="A53" s="48"/>
      <c r="B53" s="42"/>
      <c r="C53" s="42" t="s">
        <v>72</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47</v>
      </c>
      <c r="B55" s="42"/>
      <c r="C55" s="42" t="s">
        <v>57</v>
      </c>
      <c r="E55" s="46"/>
      <c r="F55" s="47"/>
      <c r="G55" s="42"/>
      <c r="H55" s="42"/>
      <c r="I55" s="42"/>
      <c r="J55" s="42"/>
      <c r="K55" s="42"/>
      <c r="L55" s="42"/>
      <c r="M55" s="46"/>
    </row>
    <row r="56" spans="1:13" s="45" customFormat="1" ht="12.75">
      <c r="A56" s="48"/>
      <c r="B56" s="42"/>
      <c r="C56" s="42" t="s">
        <v>58</v>
      </c>
      <c r="E56" s="46"/>
      <c r="F56" s="47"/>
      <c r="G56" s="42"/>
      <c r="H56" s="42"/>
      <c r="I56" s="42"/>
      <c r="J56" s="42"/>
      <c r="K56" s="42"/>
      <c r="L56" s="42"/>
      <c r="M56" s="46"/>
    </row>
    <row r="57" spans="1:13" s="45" customFormat="1" ht="12.75">
      <c r="A57" s="48"/>
      <c r="B57" s="42"/>
      <c r="C57" s="42" t="s">
        <v>59</v>
      </c>
      <c r="E57" s="46"/>
      <c r="F57" s="47"/>
      <c r="G57" s="42"/>
      <c r="H57" s="42"/>
      <c r="I57" s="42"/>
      <c r="J57" s="42"/>
      <c r="K57" s="42"/>
      <c r="L57" s="42"/>
      <c r="M57" s="46"/>
    </row>
    <row r="58" spans="1:12" ht="12.75">
      <c r="A58" s="28"/>
      <c r="B58" s="26"/>
      <c r="C58" s="26"/>
      <c r="D58" s="26"/>
      <c r="F58" s="27"/>
      <c r="G58" s="26"/>
      <c r="H58" s="26"/>
      <c r="I58" s="26"/>
      <c r="J58" s="26"/>
      <c r="K58" s="26"/>
      <c r="L58" s="26"/>
    </row>
    <row r="59" spans="1:13" ht="12.75">
      <c r="A59" s="81" t="s">
        <v>31</v>
      </c>
      <c r="B59" s="82"/>
      <c r="C59" s="82"/>
      <c r="D59" s="82"/>
      <c r="E59" s="82"/>
      <c r="F59" s="82"/>
      <c r="G59" s="82"/>
      <c r="H59" s="82"/>
      <c r="I59" s="82"/>
      <c r="J59" s="82"/>
      <c r="K59" s="82"/>
      <c r="L59" s="82"/>
      <c r="M59" s="88"/>
    </row>
    <row r="60" ht="12.75">
      <c r="A60" s="24"/>
    </row>
    <row r="61" spans="1:13" ht="13.5">
      <c r="A61" s="32"/>
      <c r="E61" s="10" t="s">
        <v>9</v>
      </c>
      <c r="F61" s="83" t="s">
        <v>83</v>
      </c>
      <c r="G61" s="83"/>
      <c r="H61" s="83"/>
      <c r="I61" s="83"/>
      <c r="J61" s="10" t="s">
        <v>10</v>
      </c>
      <c r="K61" s="53" t="s">
        <v>74</v>
      </c>
      <c r="L61" s="10" t="s">
        <v>45</v>
      </c>
      <c r="M61" s="34"/>
    </row>
    <row r="62" spans="1:13" ht="12.75">
      <c r="A62" s="35"/>
      <c r="E62" s="8" t="s">
        <v>17</v>
      </c>
      <c r="F62" s="8" t="s">
        <v>80</v>
      </c>
      <c r="G62" s="57" t="s">
        <v>81</v>
      </c>
      <c r="H62" s="36"/>
      <c r="I62" s="8" t="s">
        <v>82</v>
      </c>
      <c r="J62" s="8" t="s">
        <v>19</v>
      </c>
      <c r="K62" s="54" t="s">
        <v>75</v>
      </c>
      <c r="L62" s="8" t="s">
        <v>46</v>
      </c>
      <c r="M62" s="34"/>
    </row>
    <row r="63" spans="2:13" ht="12.75">
      <c r="B63" s="37" t="s">
        <v>50</v>
      </c>
      <c r="C63" s="37"/>
      <c r="D63" s="37"/>
      <c r="E63" s="55">
        <v>0.35</v>
      </c>
      <c r="F63" s="55">
        <v>0.31</v>
      </c>
      <c r="G63" s="58">
        <v>0.0875</v>
      </c>
      <c r="H63" s="56"/>
      <c r="I63" s="55">
        <v>0.0125</v>
      </c>
      <c r="J63" s="55">
        <v>0.1</v>
      </c>
      <c r="K63" s="55">
        <v>0.1</v>
      </c>
      <c r="L63" s="55">
        <v>0.04</v>
      </c>
      <c r="M63" s="39"/>
    </row>
    <row r="64" spans="2:13" ht="12.75">
      <c r="B64" s="37" t="s">
        <v>51</v>
      </c>
      <c r="C64" s="37"/>
      <c r="D64" s="37"/>
      <c r="E64" s="55">
        <v>0.39</v>
      </c>
      <c r="F64" s="55">
        <v>0.31</v>
      </c>
      <c r="G64" s="58">
        <v>0.0875</v>
      </c>
      <c r="H64" s="56"/>
      <c r="I64" s="55">
        <v>0.0125</v>
      </c>
      <c r="J64" s="55">
        <v>0.1</v>
      </c>
      <c r="K64" s="55">
        <v>0.1</v>
      </c>
      <c r="L64" s="55">
        <v>0</v>
      </c>
      <c r="M64" s="39"/>
    </row>
    <row r="65" spans="1:13" s="23" customFormat="1" ht="12.75">
      <c r="A65" s="3"/>
      <c r="B65" s="37" t="s">
        <v>48</v>
      </c>
      <c r="C65" s="37"/>
      <c r="D65" s="37"/>
      <c r="E65" s="55">
        <v>0.41</v>
      </c>
      <c r="F65" s="55">
        <v>0.31</v>
      </c>
      <c r="G65" s="58">
        <v>0.0875</v>
      </c>
      <c r="H65" s="56"/>
      <c r="I65" s="55">
        <v>0.0125</v>
      </c>
      <c r="J65" s="55">
        <v>0.08</v>
      </c>
      <c r="K65" s="55">
        <v>0.1</v>
      </c>
      <c r="L65" s="55">
        <v>0</v>
      </c>
      <c r="M65" s="39"/>
    </row>
    <row r="66" spans="1:13" s="23" customFormat="1" ht="12.75">
      <c r="A66" s="3"/>
      <c r="B66" s="37"/>
      <c r="C66" s="37"/>
      <c r="D66" s="37"/>
      <c r="E66" s="26"/>
      <c r="F66" s="27"/>
      <c r="G66" s="38"/>
      <c r="H66" s="26"/>
      <c r="I66" s="38"/>
      <c r="J66" s="38"/>
      <c r="K66" s="38"/>
      <c r="L66" s="38"/>
      <c r="M66" s="39"/>
    </row>
    <row r="67" spans="1:13" ht="12.75">
      <c r="A67" s="84" t="s">
        <v>39</v>
      </c>
      <c r="B67" s="85"/>
      <c r="C67" s="85"/>
      <c r="D67" s="85"/>
      <c r="E67" s="85"/>
      <c r="F67" s="85"/>
      <c r="G67" s="85"/>
      <c r="H67" s="85"/>
      <c r="I67" s="85"/>
      <c r="J67" s="85"/>
      <c r="K67" s="85"/>
      <c r="L67" s="85"/>
      <c r="M67" s="89"/>
    </row>
    <row r="68" spans="1:6" ht="9.75" customHeight="1">
      <c r="A68" s="24"/>
      <c r="E68"/>
      <c r="F68" s="16"/>
    </row>
    <row r="69" spans="1:13" ht="54" customHeight="1">
      <c r="A69" s="86" t="s">
        <v>96</v>
      </c>
      <c r="B69" s="87"/>
      <c r="C69" s="87"/>
      <c r="D69" s="87"/>
      <c r="E69" s="87"/>
      <c r="F69" s="87"/>
      <c r="G69" s="87"/>
      <c r="H69" s="87"/>
      <c r="I69" s="87"/>
      <c r="J69" s="87"/>
      <c r="K69" s="87"/>
      <c r="L69" s="87"/>
      <c r="M69" s="87"/>
    </row>
    <row r="70" spans="1:6" ht="12.75">
      <c r="A70" s="16"/>
      <c r="E70"/>
      <c r="F70" s="16"/>
    </row>
    <row r="71" spans="2:5" ht="12.75">
      <c r="B71" s="24" t="s">
        <v>40</v>
      </c>
      <c r="C71" s="24"/>
      <c r="D71" s="24"/>
      <c r="E71" s="16">
        <v>137103</v>
      </c>
    </row>
    <row r="72" spans="2:5" ht="12.75">
      <c r="B72" s="24" t="s">
        <v>41</v>
      </c>
      <c r="C72" s="24"/>
      <c r="D72" s="24"/>
      <c r="E72" s="16">
        <v>231788</v>
      </c>
    </row>
    <row r="73" spans="2:5" ht="12.75">
      <c r="B73" s="16" t="s">
        <v>42</v>
      </c>
      <c r="E73" s="16">
        <v>256796</v>
      </c>
    </row>
    <row r="74" ht="7.5" customHeight="1">
      <c r="E74" s="16" t="s">
        <v>36</v>
      </c>
    </row>
    <row r="76" ht="12.75">
      <c r="A76" s="28" t="s">
        <v>91</v>
      </c>
    </row>
  </sheetData>
  <sheetProtection/>
  <mergeCells count="12">
    <mergeCell ref="A1:M1"/>
    <mergeCell ref="A2:M2"/>
    <mergeCell ref="A3:M3"/>
    <mergeCell ref="A4:M4"/>
    <mergeCell ref="A5:M5"/>
    <mergeCell ref="A8:M8"/>
    <mergeCell ref="I10:M10"/>
    <mergeCell ref="A31:M31"/>
    <mergeCell ref="A59:M59"/>
    <mergeCell ref="F61:I61"/>
    <mergeCell ref="A67:M67"/>
    <mergeCell ref="A69:M69"/>
  </mergeCells>
  <hyperlinks>
    <hyperlink ref="A4" r:id="rId1" display="www.vernondowns.com"/>
  </hyperlinks>
  <printOptions horizontalCentered="1"/>
  <pageMargins left="0.25" right="0.25" top="0.75" bottom="0.5" header="0.5" footer="0.5"/>
  <pageSetup fitToHeight="1" fitToWidth="1" horizontalDpi="600" verticalDpi="600" orientation="portrait" scale="71"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A28" sqref="A28"/>
    </sheetView>
  </sheetViews>
  <sheetFormatPr defaultColWidth="9.140625" defaultRowHeight="12.75"/>
  <cols>
    <col min="1" max="1" width="9.28125" style="3" customWidth="1"/>
    <col min="2" max="2" width="14.140625" style="16" customWidth="1"/>
    <col min="3" max="3" width="13.57421875" style="16" customWidth="1"/>
    <col min="4" max="4" width="14.140625" style="16" customWidth="1"/>
    <col min="5" max="5" width="12.7109375" style="16" customWidth="1"/>
    <col min="6" max="6" width="8.57421875" style="17" customWidth="1"/>
    <col min="7" max="7" width="9.57421875" style="16" customWidth="1"/>
    <col min="8" max="8" width="1.421875" style="16" customWidth="1"/>
    <col min="9" max="9" width="13.00390625" style="16" customWidth="1"/>
    <col min="10" max="10" width="12.7109375" style="16" customWidth="1"/>
    <col min="11" max="12" width="12.8515625" style="16" bestFit="1" customWidth="1"/>
    <col min="13" max="13" width="11.28125" style="16" customWidth="1"/>
    <col min="14" max="14" width="12.7109375" style="0" customWidth="1"/>
  </cols>
  <sheetData>
    <row r="1" spans="1:13" ht="18">
      <c r="A1" s="77" t="s">
        <v>52</v>
      </c>
      <c r="B1" s="77"/>
      <c r="C1" s="77"/>
      <c r="D1" s="77"/>
      <c r="E1" s="77"/>
      <c r="F1" s="77"/>
      <c r="G1" s="77"/>
      <c r="H1" s="77"/>
      <c r="I1" s="77"/>
      <c r="J1" s="77"/>
      <c r="K1" s="77"/>
      <c r="L1" s="77"/>
      <c r="M1" s="77"/>
    </row>
    <row r="2" spans="1:13" ht="15">
      <c r="A2" s="78" t="s">
        <v>0</v>
      </c>
      <c r="B2" s="78"/>
      <c r="C2" s="78"/>
      <c r="D2" s="78"/>
      <c r="E2" s="78"/>
      <c r="F2" s="78"/>
      <c r="G2" s="78"/>
      <c r="H2" s="78"/>
      <c r="I2" s="78"/>
      <c r="J2" s="78"/>
      <c r="K2" s="78"/>
      <c r="L2" s="78"/>
      <c r="M2" s="78"/>
    </row>
    <row r="3" spans="1:13" s="1" customFormat="1" ht="15">
      <c r="A3" s="78" t="s">
        <v>1</v>
      </c>
      <c r="B3" s="78"/>
      <c r="C3" s="78"/>
      <c r="D3" s="78"/>
      <c r="E3" s="78"/>
      <c r="F3" s="78"/>
      <c r="G3" s="78"/>
      <c r="H3" s="78"/>
      <c r="I3" s="78"/>
      <c r="J3" s="78"/>
      <c r="K3" s="78"/>
      <c r="L3" s="78"/>
      <c r="M3" s="78"/>
    </row>
    <row r="4" spans="1:13" s="1" customFormat="1" ht="14.25" customHeight="1">
      <c r="A4" s="79" t="s">
        <v>2</v>
      </c>
      <c r="B4" s="79"/>
      <c r="C4" s="79"/>
      <c r="D4" s="79"/>
      <c r="E4" s="79"/>
      <c r="F4" s="79"/>
      <c r="G4" s="79"/>
      <c r="H4" s="79"/>
      <c r="I4" s="79"/>
      <c r="J4" s="79"/>
      <c r="K4" s="79"/>
      <c r="L4" s="79"/>
      <c r="M4" s="79"/>
    </row>
    <row r="5" spans="1:13" s="1" customFormat="1" ht="14.25">
      <c r="A5" s="80" t="s">
        <v>84</v>
      </c>
      <c r="B5" s="80"/>
      <c r="C5" s="80"/>
      <c r="D5" s="80"/>
      <c r="E5" s="80"/>
      <c r="F5" s="80"/>
      <c r="G5" s="80"/>
      <c r="H5" s="80"/>
      <c r="I5" s="80"/>
      <c r="J5" s="80"/>
      <c r="K5" s="80"/>
      <c r="L5" s="80"/>
      <c r="M5" s="80"/>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81" t="s">
        <v>92</v>
      </c>
      <c r="B8" s="82"/>
      <c r="C8" s="82"/>
      <c r="D8" s="82"/>
      <c r="E8" s="82"/>
      <c r="F8" s="82"/>
      <c r="G8" s="82"/>
      <c r="H8" s="82"/>
      <c r="I8" s="82"/>
      <c r="J8" s="82"/>
      <c r="K8" s="82"/>
      <c r="L8" s="82"/>
      <c r="M8" s="88"/>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83" t="s">
        <v>5</v>
      </c>
      <c r="J10" s="83"/>
      <c r="K10" s="83"/>
      <c r="L10" s="83"/>
      <c r="M10" s="83"/>
    </row>
    <row r="11" spans="1:13" s="1" customFormat="1" ht="12.75">
      <c r="A11" s="3"/>
      <c r="B11" s="5"/>
      <c r="C11" s="5"/>
      <c r="D11" s="5"/>
      <c r="E11" s="5"/>
      <c r="F11" s="6"/>
      <c r="G11" s="5"/>
      <c r="H11" s="5"/>
      <c r="I11" s="5"/>
      <c r="J11" s="5"/>
      <c r="K11" s="5"/>
      <c r="L11" s="5"/>
      <c r="M11" s="5"/>
    </row>
    <row r="12" spans="1:13" s="12" customFormat="1" ht="12">
      <c r="A12" s="9"/>
      <c r="B12" s="10" t="s">
        <v>6</v>
      </c>
      <c r="C12" s="10" t="s">
        <v>65</v>
      </c>
      <c r="D12" s="10" t="s">
        <v>6</v>
      </c>
      <c r="E12" s="10"/>
      <c r="F12" s="11" t="s">
        <v>7</v>
      </c>
      <c r="G12" s="10" t="s">
        <v>8</v>
      </c>
      <c r="H12" s="10"/>
      <c r="I12" s="10" t="s">
        <v>9</v>
      </c>
      <c r="J12" s="10" t="s">
        <v>73</v>
      </c>
      <c r="K12" s="10" t="s">
        <v>10</v>
      </c>
      <c r="L12" s="10" t="s">
        <v>74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75</v>
      </c>
      <c r="M13" s="8" t="s">
        <v>46</v>
      </c>
    </row>
    <row r="15" spans="1:13" ht="12.75">
      <c r="A15" s="3">
        <v>41365</v>
      </c>
      <c r="B15" s="16">
        <v>46317655.32</v>
      </c>
      <c r="C15" s="16">
        <f>333646-128316</f>
        <v>205330</v>
      </c>
      <c r="D15" s="16">
        <f aca="true" t="shared" si="0" ref="D15:D26">+B15-C15-E15</f>
        <v>42119468.84</v>
      </c>
      <c r="E15" s="16">
        <v>3992856.48</v>
      </c>
      <c r="F15" s="17">
        <v>764.2666666666667</v>
      </c>
      <c r="G15" s="16">
        <f>E15/F15/30</f>
        <v>174.14761339846476</v>
      </c>
      <c r="I15" s="16">
        <v>1397499.74</v>
      </c>
      <c r="J15" s="16">
        <v>1637071.14</v>
      </c>
      <c r="K15" s="16">
        <v>399285.64</v>
      </c>
      <c r="L15" s="16">
        <v>399285.64</v>
      </c>
      <c r="M15" s="16">
        <v>159714.25</v>
      </c>
    </row>
    <row r="16" spans="1:13" ht="12.75">
      <c r="A16" s="3">
        <v>41395</v>
      </c>
      <c r="B16" s="16">
        <v>49033004.9</v>
      </c>
      <c r="C16" s="16">
        <v>415359.27</v>
      </c>
      <c r="D16" s="16">
        <f t="shared" si="0"/>
        <v>44579524.9</v>
      </c>
      <c r="E16" s="16">
        <v>4038120.73</v>
      </c>
      <c r="F16" s="17">
        <v>766.741935483871</v>
      </c>
      <c r="G16" s="16">
        <f>E16/F16/31</f>
        <v>169.89022382094325</v>
      </c>
      <c r="I16" s="16">
        <v>1413342.77</v>
      </c>
      <c r="J16" s="16">
        <v>1655629.51</v>
      </c>
      <c r="K16" s="16">
        <v>403812.07</v>
      </c>
      <c r="L16" s="16">
        <v>403812.07</v>
      </c>
      <c r="M16" s="16">
        <v>161524.82</v>
      </c>
    </row>
    <row r="17" spans="1:13" ht="12.75">
      <c r="A17" s="3">
        <v>41426</v>
      </c>
      <c r="B17" s="16">
        <v>48173627.96</v>
      </c>
      <c r="C17" s="16">
        <f>405370.53-20</f>
        <v>405350.53</v>
      </c>
      <c r="D17" s="16">
        <f t="shared" si="0"/>
        <v>44015158.45</v>
      </c>
      <c r="E17" s="16">
        <v>3753118.98</v>
      </c>
      <c r="F17" s="17">
        <v>766.9</v>
      </c>
      <c r="G17" s="16">
        <f>E17/F17/30</f>
        <v>163.1294379971313</v>
      </c>
      <c r="I17" s="16">
        <v>1313591.63</v>
      </c>
      <c r="J17" s="16">
        <v>1538778.76</v>
      </c>
      <c r="K17" s="16">
        <v>375311.93</v>
      </c>
      <c r="L17" s="16">
        <v>375311.93</v>
      </c>
      <c r="M17" s="16">
        <v>150124.76</v>
      </c>
    </row>
    <row r="18" spans="1:13" ht="12.75">
      <c r="A18" s="3">
        <v>41456</v>
      </c>
      <c r="B18" s="16">
        <v>50714774.66</v>
      </c>
      <c r="C18" s="16">
        <f>419070.46-3500</f>
        <v>415570.46</v>
      </c>
      <c r="D18" s="16">
        <f t="shared" si="0"/>
        <v>46228523.519999996</v>
      </c>
      <c r="E18" s="16">
        <v>4070680.68</v>
      </c>
      <c r="F18" s="17">
        <v>767</v>
      </c>
      <c r="G18" s="16">
        <f>E18/F18/31</f>
        <v>171.2024511082138</v>
      </c>
      <c r="I18" s="16">
        <v>1424738.23</v>
      </c>
      <c r="J18" s="16">
        <v>1668979.1</v>
      </c>
      <c r="K18" s="16">
        <v>407068.09</v>
      </c>
      <c r="L18" s="16">
        <v>407068.09</v>
      </c>
      <c r="M18" s="16">
        <v>162827.19</v>
      </c>
    </row>
    <row r="19" spans="1:13" ht="12.75">
      <c r="A19" s="3">
        <v>41487</v>
      </c>
      <c r="B19" s="16">
        <v>52245593.01</v>
      </c>
      <c r="C19" s="16">
        <f>483227.74-170</f>
        <v>483057.74</v>
      </c>
      <c r="D19" s="16">
        <f t="shared" si="0"/>
        <v>47537131.51</v>
      </c>
      <c r="E19" s="16">
        <v>4225403.76</v>
      </c>
      <c r="F19" s="17">
        <v>767</v>
      </c>
      <c r="G19" s="16">
        <f>E19/F19/31</f>
        <v>177.70970938301718</v>
      </c>
      <c r="I19" s="16">
        <v>1478891.33</v>
      </c>
      <c r="J19" s="16">
        <v>1732415.56</v>
      </c>
      <c r="K19" s="16">
        <v>422540.37</v>
      </c>
      <c r="L19" s="16">
        <v>422540.37</v>
      </c>
      <c r="M19" s="16">
        <v>169016.13</v>
      </c>
    </row>
    <row r="20" spans="1:13" ht="12.75">
      <c r="A20" s="3">
        <v>41518</v>
      </c>
      <c r="B20" s="16">
        <v>47225514.23</v>
      </c>
      <c r="C20" s="16">
        <f>407725.25-3600</f>
        <v>404125.25</v>
      </c>
      <c r="D20" s="16">
        <f t="shared" si="0"/>
        <v>43053952.849999994</v>
      </c>
      <c r="E20" s="16">
        <v>3767436.13</v>
      </c>
      <c r="F20" s="17">
        <v>767</v>
      </c>
      <c r="G20" s="16">
        <f>E20/F20/30</f>
        <v>163.7303837461973</v>
      </c>
      <c r="I20" s="16">
        <v>1318602.64</v>
      </c>
      <c r="J20" s="16">
        <v>1544648.83</v>
      </c>
      <c r="K20" s="16">
        <v>376743.62</v>
      </c>
      <c r="L20" s="16">
        <v>376743.61</v>
      </c>
      <c r="M20" s="16">
        <v>150697.45</v>
      </c>
    </row>
    <row r="21" spans="1:13" ht="12.75">
      <c r="A21" s="3">
        <v>41548</v>
      </c>
      <c r="B21" s="16">
        <v>45849455.75</v>
      </c>
      <c r="C21" s="16">
        <v>416594.35</v>
      </c>
      <c r="D21" s="16">
        <f t="shared" si="0"/>
        <v>41754428.16</v>
      </c>
      <c r="E21" s="16">
        <v>3678433.24</v>
      </c>
      <c r="F21" s="17">
        <v>767</v>
      </c>
      <c r="G21" s="16">
        <f>E21/F21/31</f>
        <v>154.70552382554573</v>
      </c>
      <c r="I21" s="16">
        <v>1287451.66</v>
      </c>
      <c r="J21" s="16">
        <v>1508157.62</v>
      </c>
      <c r="K21" s="16">
        <v>367843.34</v>
      </c>
      <c r="L21" s="16">
        <v>367843.34</v>
      </c>
      <c r="M21" s="16">
        <v>147137.33</v>
      </c>
    </row>
    <row r="22" spans="1:13" ht="12.75">
      <c r="A22" s="3">
        <v>41579</v>
      </c>
      <c r="B22" s="16">
        <v>40402608.83</v>
      </c>
      <c r="C22" s="16">
        <v>355557.73</v>
      </c>
      <c r="D22" s="16">
        <f t="shared" si="0"/>
        <v>36850023.870000005</v>
      </c>
      <c r="E22" s="16">
        <v>3197027.23</v>
      </c>
      <c r="F22" s="17">
        <v>767</v>
      </c>
      <c r="G22" s="16">
        <f>E22/F22/30</f>
        <v>138.94077488048677</v>
      </c>
      <c r="I22" s="16">
        <v>1118959.57</v>
      </c>
      <c r="J22" s="16">
        <v>1310781.16</v>
      </c>
      <c r="K22" s="16">
        <v>319702.78</v>
      </c>
      <c r="L22" s="16">
        <v>319702.78</v>
      </c>
      <c r="M22" s="16">
        <v>127881.08</v>
      </c>
    </row>
    <row r="23" spans="1:13" ht="12.75">
      <c r="A23" s="3">
        <v>41609</v>
      </c>
      <c r="B23" s="16">
        <v>34302756.74</v>
      </c>
      <c r="C23" s="16">
        <f>298648.74-3690</f>
        <v>294958.74</v>
      </c>
      <c r="D23" s="16">
        <f t="shared" si="0"/>
        <v>31201251.04</v>
      </c>
      <c r="E23" s="16">
        <v>2806546.96</v>
      </c>
      <c r="F23" s="17">
        <v>767</v>
      </c>
      <c r="G23" s="16">
        <f>E23/F23/31</f>
        <v>118.03620978256298</v>
      </c>
      <c r="I23" s="16">
        <v>982291.45</v>
      </c>
      <c r="J23" s="16">
        <v>1150684.26</v>
      </c>
      <c r="K23" s="16">
        <v>280654.73</v>
      </c>
      <c r="L23" s="16">
        <v>280654.73</v>
      </c>
      <c r="M23" s="16">
        <v>112261.86</v>
      </c>
    </row>
    <row r="24" spans="1:13" ht="12.75">
      <c r="A24" s="3">
        <v>41640</v>
      </c>
      <c r="B24" s="16">
        <v>35052324.47</v>
      </c>
      <c r="C24" s="16">
        <f>294112.75-3570</f>
        <v>290542.75</v>
      </c>
      <c r="D24" s="16">
        <f t="shared" si="0"/>
        <v>31806483.479999997</v>
      </c>
      <c r="E24" s="16">
        <v>2955298.24</v>
      </c>
      <c r="F24" s="17">
        <v>767</v>
      </c>
      <c r="G24" s="16">
        <f>E24/F24/31</f>
        <v>124.29230937460572</v>
      </c>
      <c r="I24" s="16">
        <v>1034354.38</v>
      </c>
      <c r="J24" s="16">
        <v>1211672.29</v>
      </c>
      <c r="K24" s="16">
        <v>295529.85</v>
      </c>
      <c r="L24" s="16">
        <v>295529.85</v>
      </c>
      <c r="M24" s="16">
        <v>118211.92</v>
      </c>
    </row>
    <row r="25" spans="1:13" ht="12.75">
      <c r="A25" s="3">
        <v>41671</v>
      </c>
      <c r="B25" s="16">
        <v>37839610.21</v>
      </c>
      <c r="C25" s="16">
        <v>308345.4</v>
      </c>
      <c r="D25" s="16">
        <f t="shared" si="0"/>
        <v>34399479.75</v>
      </c>
      <c r="E25" s="16">
        <v>3131785.06</v>
      </c>
      <c r="F25" s="17">
        <v>767</v>
      </c>
      <c r="G25" s="16">
        <f>E25/F25/28</f>
        <v>145.82720525237474</v>
      </c>
      <c r="I25" s="16">
        <v>1096124.79</v>
      </c>
      <c r="J25" s="16">
        <v>1284031.88</v>
      </c>
      <c r="K25" s="16">
        <v>313178.51</v>
      </c>
      <c r="L25" s="16">
        <v>313178.51</v>
      </c>
      <c r="M25" s="16">
        <v>125271.4</v>
      </c>
    </row>
    <row r="26" spans="1:13" ht="12.75">
      <c r="A26" s="3">
        <v>41699</v>
      </c>
      <c r="B26" s="16">
        <v>46214745.3</v>
      </c>
      <c r="C26" s="16">
        <f>381879.06-3590</f>
        <v>378289.06</v>
      </c>
      <c r="D26" s="16">
        <f t="shared" si="0"/>
        <v>42082251.339999996</v>
      </c>
      <c r="E26" s="16">
        <v>3754204.9</v>
      </c>
      <c r="F26" s="17">
        <v>767</v>
      </c>
      <c r="G26" s="16">
        <f>E26/F26/31</f>
        <v>157.89228666358244</v>
      </c>
      <c r="I26" s="16">
        <v>1313971.73</v>
      </c>
      <c r="J26" s="16">
        <v>1539224.01</v>
      </c>
      <c r="K26" s="16">
        <v>375420.49</v>
      </c>
      <c r="L26" s="16">
        <v>375420.49</v>
      </c>
      <c r="M26" s="16">
        <v>150168.2</v>
      </c>
    </row>
    <row r="27" spans="1:13" ht="13.5" thickBot="1">
      <c r="A27" s="3" t="s">
        <v>20</v>
      </c>
      <c r="B27" s="18">
        <f>SUM(B15:B26)</f>
        <v>533371671.38</v>
      </c>
      <c r="C27" s="18">
        <f>SUM(C15:C26)</f>
        <v>4373081.28</v>
      </c>
      <c r="D27" s="18">
        <f>SUM(D15:D26)</f>
        <v>485627677.71000004</v>
      </c>
      <c r="E27" s="18">
        <f>SUM(E15:E26)</f>
        <v>43370912.39</v>
      </c>
      <c r="I27" s="18">
        <f>SUM(I15:I26)</f>
        <v>15179819.919999998</v>
      </c>
      <c r="J27" s="18">
        <f>SUM(J15:J26)</f>
        <v>17782074.12</v>
      </c>
      <c r="K27" s="18">
        <f>SUM(K15:K26)</f>
        <v>4337091.42</v>
      </c>
      <c r="L27" s="18">
        <f>SUM(L15:L26)</f>
        <v>4337091.41</v>
      </c>
      <c r="M27" s="18">
        <f>SUM(M15:M26)</f>
        <v>1734836.3900000001</v>
      </c>
    </row>
    <row r="28" spans="2:13" ht="10.5" customHeight="1" thickTop="1">
      <c r="B28" s="19"/>
      <c r="C28" s="19"/>
      <c r="D28" s="19"/>
      <c r="E28" s="19"/>
      <c r="I28" s="19"/>
      <c r="J28" s="19"/>
      <c r="K28" s="19"/>
      <c r="L28" s="19"/>
      <c r="M28" s="19"/>
    </row>
    <row r="29" spans="1:13" s="22" customFormat="1" ht="12.75">
      <c r="A29" s="20"/>
      <c r="B29" s="21"/>
      <c r="C29" s="21">
        <f>C27/B27</f>
        <v>0.008198938028871061</v>
      </c>
      <c r="D29" s="21">
        <f>D27/B27</f>
        <v>0.9104864464464878</v>
      </c>
      <c r="E29" s="21">
        <f>E27/B27</f>
        <v>0.08131461552464125</v>
      </c>
      <c r="I29" s="21">
        <f>I27/$E$27</f>
        <v>0.3500000134537174</v>
      </c>
      <c r="J29" s="21">
        <f>J27/$E$27</f>
        <v>0.41000000092458283</v>
      </c>
      <c r="K29" s="21">
        <f>K27/$E$27</f>
        <v>0.10000000417330394</v>
      </c>
      <c r="L29" s="21">
        <f>L27/$E$27</f>
        <v>0.10000000394273467</v>
      </c>
      <c r="M29" s="21">
        <f>M27/$E$27</f>
        <v>0.03999999756518842</v>
      </c>
    </row>
    <row r="31" spans="1:13" s="23" customFormat="1" ht="12.75">
      <c r="A31" s="81" t="s">
        <v>21</v>
      </c>
      <c r="B31" s="82"/>
      <c r="C31" s="82"/>
      <c r="D31" s="82"/>
      <c r="E31" s="82"/>
      <c r="F31" s="82"/>
      <c r="G31" s="82"/>
      <c r="H31" s="82"/>
      <c r="I31" s="82"/>
      <c r="J31" s="82"/>
      <c r="K31" s="82"/>
      <c r="L31" s="82"/>
      <c r="M31" s="88"/>
    </row>
    <row r="32" ht="12.75">
      <c r="A32" s="24"/>
    </row>
    <row r="33" spans="1:12" s="45" customFormat="1" ht="12.75" customHeight="1">
      <c r="A33" s="41" t="s">
        <v>22</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79</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23</v>
      </c>
      <c r="B38" s="42"/>
      <c r="C38" s="43" t="s">
        <v>94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25</v>
      </c>
      <c r="B40" s="42"/>
      <c r="C40" s="42" t="s">
        <v>55</v>
      </c>
      <c r="E40" s="46"/>
      <c r="F40" s="47"/>
      <c r="G40" s="42"/>
      <c r="H40" s="42"/>
      <c r="I40" s="42"/>
      <c r="J40" s="42"/>
      <c r="K40" s="42"/>
      <c r="L40" s="42"/>
      <c r="M40" s="42"/>
    </row>
    <row r="41" spans="1:13" s="45" customFormat="1" ht="12.75">
      <c r="A41" s="41"/>
      <c r="B41" s="42"/>
      <c r="C41" s="42" t="s">
        <v>56</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28</v>
      </c>
      <c r="B43" s="42"/>
      <c r="C43" s="42" t="s">
        <v>29</v>
      </c>
      <c r="E43" s="46"/>
      <c r="F43" s="47"/>
      <c r="G43" s="42"/>
      <c r="H43" s="42"/>
      <c r="I43" s="42"/>
      <c r="J43" s="42"/>
      <c r="K43" s="42"/>
      <c r="L43" s="42"/>
      <c r="M43" s="42"/>
    </row>
    <row r="44" spans="1:13" s="45" customFormat="1" ht="6" customHeight="1">
      <c r="A44" s="41"/>
      <c r="B44" s="42"/>
      <c r="C44" s="42"/>
      <c r="D44" s="42"/>
      <c r="E44" s="46"/>
      <c r="F44" s="47"/>
      <c r="G44" s="42"/>
      <c r="H44" s="42"/>
      <c r="I44" s="42"/>
      <c r="J44" s="42"/>
      <c r="K44" s="42"/>
      <c r="L44" s="42"/>
      <c r="M44" s="42"/>
    </row>
    <row r="45" spans="1:12" s="45" customFormat="1" ht="12.75">
      <c r="A45" s="41" t="s">
        <v>68</v>
      </c>
      <c r="B45" s="42"/>
      <c r="C45" s="42" t="s">
        <v>69</v>
      </c>
      <c r="D45" s="46"/>
      <c r="E45" s="47"/>
      <c r="F45" s="42"/>
      <c r="G45" s="42"/>
      <c r="H45" s="42"/>
      <c r="I45" s="42"/>
      <c r="J45" s="42"/>
      <c r="K45" s="42"/>
      <c r="L45" s="42"/>
    </row>
    <row r="46" spans="1:12" s="45" customFormat="1" ht="12.75">
      <c r="A46" s="41"/>
      <c r="B46" s="42"/>
      <c r="C46" s="42" t="s">
        <v>76</v>
      </c>
      <c r="D46" s="46"/>
      <c r="E46" s="47"/>
      <c r="F46" s="42"/>
      <c r="G46" s="42"/>
      <c r="H46" s="42"/>
      <c r="I46" s="42"/>
      <c r="J46" s="42"/>
      <c r="K46" s="42"/>
      <c r="L46" s="42"/>
    </row>
    <row r="47" spans="1:12" s="45" customFormat="1" ht="12.75">
      <c r="A47" s="41"/>
      <c r="B47" s="42"/>
      <c r="C47" s="42" t="s">
        <v>77</v>
      </c>
      <c r="D47" s="46"/>
      <c r="E47" s="47"/>
      <c r="F47" s="42"/>
      <c r="G47" s="42"/>
      <c r="H47" s="42"/>
      <c r="I47" s="42"/>
      <c r="J47" s="42"/>
      <c r="K47" s="42"/>
      <c r="L47" s="42"/>
    </row>
    <row r="48" spans="1:13" s="45" customFormat="1" ht="6" customHeight="1">
      <c r="A48" s="41"/>
      <c r="B48" s="42"/>
      <c r="C48" s="42"/>
      <c r="D48" s="42"/>
      <c r="E48" s="46"/>
      <c r="F48" s="47"/>
      <c r="G48" s="42"/>
      <c r="H48" s="42"/>
      <c r="I48" s="42"/>
      <c r="J48" s="42"/>
      <c r="K48" s="42"/>
      <c r="L48" s="42"/>
      <c r="M48" s="42"/>
    </row>
    <row r="49" spans="1:12" s="45" customFormat="1" ht="12.75">
      <c r="A49" s="41" t="s">
        <v>30</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3" s="45" customFormat="1" ht="6" customHeight="1">
      <c r="A51" s="41"/>
      <c r="B51" s="42"/>
      <c r="C51" s="42"/>
      <c r="D51" s="42"/>
      <c r="E51" s="46"/>
      <c r="F51" s="47"/>
      <c r="G51" s="42"/>
      <c r="H51" s="42"/>
      <c r="I51" s="42"/>
      <c r="J51" s="42"/>
      <c r="K51" s="42"/>
      <c r="L51" s="42"/>
      <c r="M51" s="42"/>
    </row>
    <row r="52" spans="1:12" s="45" customFormat="1" ht="12.75">
      <c r="A52" s="41" t="s">
        <v>78</v>
      </c>
      <c r="B52" s="42"/>
      <c r="C52" s="42" t="s">
        <v>71</v>
      </c>
      <c r="D52" s="46"/>
      <c r="E52" s="47"/>
      <c r="F52" s="42"/>
      <c r="G52" s="42"/>
      <c r="H52" s="42"/>
      <c r="I52" s="42"/>
      <c r="J52" s="42"/>
      <c r="K52" s="42"/>
      <c r="L52" s="42"/>
    </row>
    <row r="53" spans="1:12" s="45" customFormat="1" ht="12.75">
      <c r="A53" s="48"/>
      <c r="B53" s="42"/>
      <c r="C53" s="42" t="s">
        <v>72</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47</v>
      </c>
      <c r="B55" s="42"/>
      <c r="C55" s="42" t="s">
        <v>57</v>
      </c>
      <c r="E55" s="46"/>
      <c r="F55" s="47"/>
      <c r="G55" s="42"/>
      <c r="H55" s="42"/>
      <c r="I55" s="42"/>
      <c r="J55" s="42"/>
      <c r="K55" s="42"/>
      <c r="L55" s="42"/>
      <c r="M55" s="46"/>
    </row>
    <row r="56" spans="1:13" s="45" customFormat="1" ht="12.75">
      <c r="A56" s="48"/>
      <c r="B56" s="42"/>
      <c r="C56" s="42" t="s">
        <v>58</v>
      </c>
      <c r="E56" s="46"/>
      <c r="F56" s="47"/>
      <c r="G56" s="42"/>
      <c r="H56" s="42"/>
      <c r="I56" s="42"/>
      <c r="J56" s="42"/>
      <c r="K56" s="42"/>
      <c r="L56" s="42"/>
      <c r="M56" s="46"/>
    </row>
    <row r="57" spans="1:13" s="45" customFormat="1" ht="12.75">
      <c r="A57" s="48"/>
      <c r="B57" s="42"/>
      <c r="C57" s="42" t="s">
        <v>59</v>
      </c>
      <c r="E57" s="46"/>
      <c r="F57" s="47"/>
      <c r="G57" s="42"/>
      <c r="H57" s="42"/>
      <c r="I57" s="42"/>
      <c r="J57" s="42"/>
      <c r="K57" s="42"/>
      <c r="L57" s="42"/>
      <c r="M57" s="46"/>
    </row>
    <row r="58" spans="1:12" ht="12.75">
      <c r="A58" s="28"/>
      <c r="B58" s="26"/>
      <c r="C58" s="26"/>
      <c r="D58" s="26"/>
      <c r="F58" s="27"/>
      <c r="G58" s="26"/>
      <c r="H58" s="26"/>
      <c r="I58" s="26"/>
      <c r="J58" s="26"/>
      <c r="K58" s="26"/>
      <c r="L58" s="26"/>
    </row>
    <row r="59" spans="1:13" ht="12.75">
      <c r="A59" s="81" t="s">
        <v>31</v>
      </c>
      <c r="B59" s="82"/>
      <c r="C59" s="82"/>
      <c r="D59" s="82"/>
      <c r="E59" s="82"/>
      <c r="F59" s="82"/>
      <c r="G59" s="82"/>
      <c r="H59" s="82"/>
      <c r="I59" s="82"/>
      <c r="J59" s="82"/>
      <c r="K59" s="82"/>
      <c r="L59" s="82"/>
      <c r="M59" s="88"/>
    </row>
    <row r="60" ht="12.75">
      <c r="A60" s="24"/>
    </row>
    <row r="61" spans="1:13" ht="13.5">
      <c r="A61" s="32"/>
      <c r="E61" s="10" t="s">
        <v>9</v>
      </c>
      <c r="F61" s="83" t="s">
        <v>83</v>
      </c>
      <c r="G61" s="83"/>
      <c r="H61" s="83"/>
      <c r="I61" s="83"/>
      <c r="J61" s="10" t="s">
        <v>10</v>
      </c>
      <c r="K61" s="53" t="s">
        <v>74</v>
      </c>
      <c r="L61" s="10" t="s">
        <v>45</v>
      </c>
      <c r="M61" s="34"/>
    </row>
    <row r="62" spans="1:13" ht="12.75">
      <c r="A62" s="35"/>
      <c r="E62" s="8" t="s">
        <v>17</v>
      </c>
      <c r="F62" s="8" t="s">
        <v>80</v>
      </c>
      <c r="G62" s="57" t="s">
        <v>81</v>
      </c>
      <c r="H62" s="36"/>
      <c r="I62" s="8" t="s">
        <v>82</v>
      </c>
      <c r="J62" s="8" t="s">
        <v>19</v>
      </c>
      <c r="K62" s="54" t="s">
        <v>75</v>
      </c>
      <c r="L62" s="8" t="s">
        <v>46</v>
      </c>
      <c r="M62" s="34"/>
    </row>
    <row r="63" spans="2:13" ht="12.75">
      <c r="B63" s="37" t="s">
        <v>50</v>
      </c>
      <c r="C63" s="37"/>
      <c r="D63" s="37"/>
      <c r="E63" s="55">
        <v>0.35</v>
      </c>
      <c r="F63" s="55">
        <v>0.31</v>
      </c>
      <c r="G63" s="58">
        <v>0.0875</v>
      </c>
      <c r="H63" s="56"/>
      <c r="I63" s="55">
        <v>0.0125</v>
      </c>
      <c r="J63" s="55">
        <v>0.1</v>
      </c>
      <c r="K63" s="55">
        <v>0.1</v>
      </c>
      <c r="L63" s="55">
        <v>0.04</v>
      </c>
      <c r="M63" s="39"/>
    </row>
    <row r="64" spans="2:13" ht="12.75">
      <c r="B64" s="37" t="s">
        <v>51</v>
      </c>
      <c r="C64" s="37"/>
      <c r="D64" s="37"/>
      <c r="E64" s="55">
        <v>0.39</v>
      </c>
      <c r="F64" s="55">
        <v>0.31</v>
      </c>
      <c r="G64" s="58">
        <v>0.0875</v>
      </c>
      <c r="H64" s="56"/>
      <c r="I64" s="55">
        <v>0.0125</v>
      </c>
      <c r="J64" s="55">
        <v>0.1</v>
      </c>
      <c r="K64" s="55">
        <v>0.1</v>
      </c>
      <c r="L64" s="55">
        <v>0</v>
      </c>
      <c r="M64" s="39"/>
    </row>
    <row r="65" spans="1:13" s="23" customFormat="1" ht="12.75">
      <c r="A65" s="3"/>
      <c r="B65" s="37" t="s">
        <v>48</v>
      </c>
      <c r="C65" s="37"/>
      <c r="D65" s="37"/>
      <c r="E65" s="55">
        <v>0.41</v>
      </c>
      <c r="F65" s="55">
        <v>0.31</v>
      </c>
      <c r="G65" s="58">
        <v>0.0875</v>
      </c>
      <c r="H65" s="56"/>
      <c r="I65" s="55">
        <v>0.0125</v>
      </c>
      <c r="J65" s="55">
        <v>0.08</v>
      </c>
      <c r="K65" s="55">
        <v>0.1</v>
      </c>
      <c r="L65" s="55">
        <v>0</v>
      </c>
      <c r="M65" s="39"/>
    </row>
    <row r="66" spans="1:13" s="23" customFormat="1" ht="12.75">
      <c r="A66" s="3"/>
      <c r="B66" s="37"/>
      <c r="C66" s="37"/>
      <c r="D66" s="37"/>
      <c r="E66" s="26"/>
      <c r="F66" s="27"/>
      <c r="G66" s="38"/>
      <c r="H66" s="26"/>
      <c r="I66" s="38"/>
      <c r="J66" s="38"/>
      <c r="K66" s="38"/>
      <c r="L66" s="38"/>
      <c r="M66" s="39"/>
    </row>
    <row r="67" spans="1:13" ht="12.75">
      <c r="A67" s="84" t="s">
        <v>39</v>
      </c>
      <c r="B67" s="85"/>
      <c r="C67" s="85"/>
      <c r="D67" s="85"/>
      <c r="E67" s="85"/>
      <c r="F67" s="85"/>
      <c r="G67" s="85"/>
      <c r="H67" s="85"/>
      <c r="I67" s="85"/>
      <c r="J67" s="85"/>
      <c r="K67" s="85"/>
      <c r="L67" s="85"/>
      <c r="M67" s="89"/>
    </row>
    <row r="68" spans="1:6" ht="9.75" customHeight="1">
      <c r="A68" s="24"/>
      <c r="E68"/>
      <c r="F68" s="16"/>
    </row>
    <row r="69" spans="1:13" ht="54" customHeight="1">
      <c r="A69" s="86" t="s">
        <v>93</v>
      </c>
      <c r="B69" s="87"/>
      <c r="C69" s="87"/>
      <c r="D69" s="87"/>
      <c r="E69" s="87"/>
      <c r="F69" s="87"/>
      <c r="G69" s="87"/>
      <c r="H69" s="87"/>
      <c r="I69" s="87"/>
      <c r="J69" s="87"/>
      <c r="K69" s="87"/>
      <c r="L69" s="87"/>
      <c r="M69" s="87"/>
    </row>
    <row r="70" spans="1:6" ht="12.75">
      <c r="A70" s="16"/>
      <c r="E70"/>
      <c r="F70" s="16"/>
    </row>
    <row r="71" spans="2:5" ht="12.75">
      <c r="B71" s="24" t="s">
        <v>40</v>
      </c>
      <c r="C71" s="24"/>
      <c r="D71" s="24"/>
      <c r="E71" s="16">
        <v>107724</v>
      </c>
    </row>
    <row r="72" spans="2:5" ht="12.75">
      <c r="B72" s="24" t="s">
        <v>41</v>
      </c>
      <c r="C72" s="24"/>
      <c r="D72" s="24"/>
      <c r="E72" s="16">
        <v>182119</v>
      </c>
    </row>
    <row r="73" spans="2:5" ht="12.75">
      <c r="B73" s="16" t="s">
        <v>42</v>
      </c>
      <c r="E73" s="16">
        <v>201768</v>
      </c>
    </row>
    <row r="74" ht="7.5" customHeight="1">
      <c r="E74" s="16" t="s">
        <v>36</v>
      </c>
    </row>
    <row r="76" ht="12.75">
      <c r="A76" s="28" t="s">
        <v>91</v>
      </c>
    </row>
  </sheetData>
  <sheetProtection/>
  <mergeCells count="12">
    <mergeCell ref="I10:M10"/>
    <mergeCell ref="A31:M31"/>
    <mergeCell ref="A59:M59"/>
    <mergeCell ref="F61:I61"/>
    <mergeCell ref="A67:M67"/>
    <mergeCell ref="A69:M69"/>
    <mergeCell ref="A1:M1"/>
    <mergeCell ref="A2:M2"/>
    <mergeCell ref="A3:M3"/>
    <mergeCell ref="A4:M4"/>
    <mergeCell ref="A5:M5"/>
    <mergeCell ref="A8:M8"/>
  </mergeCells>
  <hyperlinks>
    <hyperlink ref="A4" r:id="rId1" display="www.vernondowns.com"/>
  </hyperlinks>
  <printOptions horizontalCentered="1"/>
  <pageMargins left="0.25" right="0.25" top="0.75" bottom="0.5" header="0.5" footer="0.5"/>
  <pageSetup fitToHeight="1" fitToWidth="1" horizontalDpi="600" verticalDpi="600" orientation="portrait" scale="71" r:id="rId3"/>
  <drawing r:id="rId2"/>
</worksheet>
</file>

<file path=xl/worksheets/sheet12.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A28" sqref="A28"/>
    </sheetView>
  </sheetViews>
  <sheetFormatPr defaultColWidth="9.140625" defaultRowHeight="12.75"/>
  <cols>
    <col min="1" max="1" width="9.28125" style="3" customWidth="1"/>
    <col min="2" max="2" width="14.140625" style="16" customWidth="1"/>
    <col min="3" max="3" width="13.57421875" style="16" customWidth="1"/>
    <col min="4" max="4" width="14.140625" style="16" customWidth="1"/>
    <col min="5" max="5" width="12.7109375" style="16" customWidth="1"/>
    <col min="6" max="6" width="8.57421875" style="17" customWidth="1"/>
    <col min="7" max="7" width="9.57421875" style="16" customWidth="1"/>
    <col min="8" max="8" width="1.421875" style="16" customWidth="1"/>
    <col min="9" max="9" width="13.00390625" style="16" customWidth="1"/>
    <col min="10" max="10" width="12.7109375" style="16" customWidth="1"/>
    <col min="11" max="12" width="12.8515625" style="16" bestFit="1" customWidth="1"/>
    <col min="13" max="13" width="11.28125" style="16" customWidth="1"/>
    <col min="14" max="14" width="12.7109375" style="0" customWidth="1"/>
  </cols>
  <sheetData>
    <row r="1" spans="1:13" ht="18">
      <c r="A1" s="77" t="s">
        <v>52</v>
      </c>
      <c r="B1" s="77"/>
      <c r="C1" s="77"/>
      <c r="D1" s="77"/>
      <c r="E1" s="77"/>
      <c r="F1" s="77"/>
      <c r="G1" s="77"/>
      <c r="H1" s="77"/>
      <c r="I1" s="77"/>
      <c r="J1" s="77"/>
      <c r="K1" s="77"/>
      <c r="L1" s="77"/>
      <c r="M1" s="77"/>
    </row>
    <row r="2" spans="1:13" ht="15">
      <c r="A2" s="78" t="s">
        <v>0</v>
      </c>
      <c r="B2" s="78"/>
      <c r="C2" s="78"/>
      <c r="D2" s="78"/>
      <c r="E2" s="78"/>
      <c r="F2" s="78"/>
      <c r="G2" s="78"/>
      <c r="H2" s="78"/>
      <c r="I2" s="78"/>
      <c r="J2" s="78"/>
      <c r="K2" s="78"/>
      <c r="L2" s="78"/>
      <c r="M2" s="78"/>
    </row>
    <row r="3" spans="1:13" s="1" customFormat="1" ht="15">
      <c r="A3" s="78" t="s">
        <v>1</v>
      </c>
      <c r="B3" s="78"/>
      <c r="C3" s="78"/>
      <c r="D3" s="78"/>
      <c r="E3" s="78"/>
      <c r="F3" s="78"/>
      <c r="G3" s="78"/>
      <c r="H3" s="78"/>
      <c r="I3" s="78"/>
      <c r="J3" s="78"/>
      <c r="K3" s="78"/>
      <c r="L3" s="78"/>
      <c r="M3" s="78"/>
    </row>
    <row r="4" spans="1:13" s="1" customFormat="1" ht="14.25" customHeight="1">
      <c r="A4" s="79" t="s">
        <v>2</v>
      </c>
      <c r="B4" s="79"/>
      <c r="C4" s="79"/>
      <c r="D4" s="79"/>
      <c r="E4" s="79"/>
      <c r="F4" s="79"/>
      <c r="G4" s="79"/>
      <c r="H4" s="79"/>
      <c r="I4" s="79"/>
      <c r="J4" s="79"/>
      <c r="K4" s="79"/>
      <c r="L4" s="79"/>
      <c r="M4" s="79"/>
    </row>
    <row r="5" spans="1:13" s="1" customFormat="1" ht="14.25">
      <c r="A5" s="80" t="s">
        <v>84</v>
      </c>
      <c r="B5" s="80"/>
      <c r="C5" s="80"/>
      <c r="D5" s="80"/>
      <c r="E5" s="80"/>
      <c r="F5" s="80"/>
      <c r="G5" s="80"/>
      <c r="H5" s="80"/>
      <c r="I5" s="80"/>
      <c r="J5" s="80"/>
      <c r="K5" s="80"/>
      <c r="L5" s="80"/>
      <c r="M5" s="80"/>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81" t="s">
        <v>86</v>
      </c>
      <c r="B8" s="82"/>
      <c r="C8" s="82"/>
      <c r="D8" s="82"/>
      <c r="E8" s="82"/>
      <c r="F8" s="82"/>
      <c r="G8" s="82"/>
      <c r="H8" s="82"/>
      <c r="I8" s="82"/>
      <c r="J8" s="82"/>
      <c r="K8" s="82"/>
      <c r="L8" s="82"/>
      <c r="M8" s="88"/>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83" t="s">
        <v>5</v>
      </c>
      <c r="J10" s="83"/>
      <c r="K10" s="83"/>
      <c r="L10" s="83"/>
      <c r="M10" s="83"/>
    </row>
    <row r="11" spans="1:13" s="1" customFormat="1" ht="12.75">
      <c r="A11" s="3"/>
      <c r="B11" s="5"/>
      <c r="C11" s="5"/>
      <c r="D11" s="5"/>
      <c r="E11" s="5"/>
      <c r="F11" s="6"/>
      <c r="G11" s="5"/>
      <c r="H11" s="5"/>
      <c r="I11" s="5"/>
      <c r="J11" s="5"/>
      <c r="K11" s="5"/>
      <c r="L11" s="5"/>
      <c r="M11" s="5"/>
    </row>
    <row r="12" spans="1:13" s="12" customFormat="1" ht="12">
      <c r="A12" s="9"/>
      <c r="B12" s="10" t="s">
        <v>6</v>
      </c>
      <c r="C12" s="10" t="s">
        <v>65</v>
      </c>
      <c r="D12" s="10" t="s">
        <v>6</v>
      </c>
      <c r="E12" s="10"/>
      <c r="F12" s="11" t="s">
        <v>7</v>
      </c>
      <c r="G12" s="10" t="s">
        <v>8</v>
      </c>
      <c r="H12" s="10"/>
      <c r="I12" s="10" t="s">
        <v>9</v>
      </c>
      <c r="J12" s="10" t="s">
        <v>73</v>
      </c>
      <c r="K12" s="10" t="s">
        <v>10</v>
      </c>
      <c r="L12" s="10" t="s">
        <v>74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75</v>
      </c>
      <c r="M13" s="8" t="s">
        <v>46</v>
      </c>
    </row>
    <row r="15" spans="1:13" ht="12.75">
      <c r="A15" s="3">
        <v>41000</v>
      </c>
      <c r="B15" s="16">
        <v>45341024.44</v>
      </c>
      <c r="C15" s="16">
        <f>269061.23-3570</f>
        <v>265491.23</v>
      </c>
      <c r="D15" s="16">
        <f aca="true" t="shared" si="0" ref="D15:D26">+B15-C15-E15</f>
        <v>41328183.55</v>
      </c>
      <c r="E15" s="16">
        <v>3747349.66</v>
      </c>
      <c r="F15" s="17">
        <v>767</v>
      </c>
      <c r="G15" s="16">
        <f>E15/F15/30</f>
        <v>162.85743850499784</v>
      </c>
      <c r="I15" s="16">
        <v>1311572.36</v>
      </c>
      <c r="J15" s="16">
        <v>1536413.31</v>
      </c>
      <c r="K15" s="16">
        <v>374734.99</v>
      </c>
      <c r="L15" s="16">
        <v>374734.98</v>
      </c>
      <c r="M15" s="16">
        <v>149893.96</v>
      </c>
    </row>
    <row r="16" spans="1:13" ht="12.75">
      <c r="A16" s="3">
        <v>41030</v>
      </c>
      <c r="B16" s="16">
        <v>46176415.58</v>
      </c>
      <c r="C16" s="16">
        <f>341908.98-3740</f>
        <v>338168.98</v>
      </c>
      <c r="D16" s="16">
        <f t="shared" si="0"/>
        <v>42081123.99</v>
      </c>
      <c r="E16" s="16">
        <v>3757122.61</v>
      </c>
      <c r="F16" s="17">
        <v>767</v>
      </c>
      <c r="G16" s="16">
        <f>E16/F16/31</f>
        <v>158.01499810741473</v>
      </c>
      <c r="I16" s="16">
        <v>1314992.92</v>
      </c>
      <c r="J16" s="16">
        <v>1540420.31</v>
      </c>
      <c r="K16" s="16">
        <v>375712.27</v>
      </c>
      <c r="L16" s="16">
        <v>375712.27</v>
      </c>
      <c r="M16" s="16">
        <v>150284.89</v>
      </c>
    </row>
    <row r="17" spans="1:13" ht="12.75">
      <c r="A17" s="3">
        <v>41061</v>
      </c>
      <c r="B17" s="16">
        <v>47430382.13</v>
      </c>
      <c r="C17" s="16">
        <v>418598.94</v>
      </c>
      <c r="D17" s="16">
        <f t="shared" si="0"/>
        <v>43223132.650000006</v>
      </c>
      <c r="E17" s="16">
        <v>3788650.54</v>
      </c>
      <c r="F17" s="17">
        <v>767</v>
      </c>
      <c r="G17" s="16">
        <f>E17/F17/30</f>
        <v>164.65234854411125</v>
      </c>
      <c r="I17" s="16">
        <v>1326027.71</v>
      </c>
      <c r="J17" s="16">
        <v>1553346.71</v>
      </c>
      <c r="K17" s="16">
        <v>378865.09</v>
      </c>
      <c r="L17" s="16">
        <v>378865.09</v>
      </c>
      <c r="M17" s="16">
        <v>151546</v>
      </c>
    </row>
    <row r="18" spans="1:13" ht="12.75">
      <c r="A18" s="3">
        <v>41091</v>
      </c>
      <c r="B18" s="16">
        <v>52634401.68</v>
      </c>
      <c r="C18" s="16">
        <v>486487.08</v>
      </c>
      <c r="D18" s="16">
        <f t="shared" si="0"/>
        <v>47904740.5</v>
      </c>
      <c r="E18" s="16">
        <v>4243174.1</v>
      </c>
      <c r="F18" s="17">
        <v>767</v>
      </c>
      <c r="G18" s="16">
        <f>E18/F18/31</f>
        <v>178.45708457753287</v>
      </c>
      <c r="I18" s="16">
        <v>1485110.96</v>
      </c>
      <c r="J18" s="16">
        <v>1739701.42</v>
      </c>
      <c r="K18" s="16">
        <v>424317.44</v>
      </c>
      <c r="L18" s="16">
        <v>424317.43</v>
      </c>
      <c r="M18" s="16">
        <v>169726.99</v>
      </c>
    </row>
    <row r="19" spans="1:13" ht="12.75">
      <c r="A19" s="3">
        <v>41122</v>
      </c>
      <c r="B19" s="16">
        <v>51747127.34</v>
      </c>
      <c r="C19" s="16">
        <v>504597.2</v>
      </c>
      <c r="D19" s="16">
        <f t="shared" si="0"/>
        <v>47182708.68</v>
      </c>
      <c r="E19" s="16">
        <v>4059821.46</v>
      </c>
      <c r="F19" s="17">
        <v>767</v>
      </c>
      <c r="G19" s="16">
        <f>E19/F19/31</f>
        <v>170.74574000084115</v>
      </c>
      <c r="I19" s="16">
        <v>1420937.52</v>
      </c>
      <c r="J19" s="16">
        <v>1664526.78</v>
      </c>
      <c r="K19" s="16">
        <v>405982.16</v>
      </c>
      <c r="L19" s="16">
        <v>405982.16</v>
      </c>
      <c r="M19" s="16">
        <v>162392.85</v>
      </c>
    </row>
    <row r="20" spans="1:13" ht="12.75">
      <c r="A20" s="3">
        <v>41153</v>
      </c>
      <c r="B20" s="16">
        <v>47490308.92</v>
      </c>
      <c r="C20" s="16">
        <v>422196.66</v>
      </c>
      <c r="D20" s="16">
        <f t="shared" si="0"/>
        <v>43305505.00000001</v>
      </c>
      <c r="E20" s="16">
        <v>3762607.26</v>
      </c>
      <c r="F20" s="17">
        <v>767</v>
      </c>
      <c r="G20" s="16">
        <f>E20/F20/30</f>
        <v>163.52052411994785</v>
      </c>
      <c r="I20" s="16">
        <v>1316912.54</v>
      </c>
      <c r="J20" s="16">
        <v>1542668.99</v>
      </c>
      <c r="K20" s="16">
        <v>376260.75</v>
      </c>
      <c r="L20" s="16">
        <v>376260.75</v>
      </c>
      <c r="M20" s="16">
        <v>150504.27</v>
      </c>
    </row>
    <row r="21" spans="1:13" ht="12.75">
      <c r="A21" s="3">
        <v>41183</v>
      </c>
      <c r="B21" s="16">
        <v>44814892.95</v>
      </c>
      <c r="C21" s="16">
        <f>446418-103398</f>
        <v>343020</v>
      </c>
      <c r="D21" s="16">
        <f t="shared" si="0"/>
        <v>40846582.49</v>
      </c>
      <c r="E21" s="16">
        <v>3625290.46</v>
      </c>
      <c r="F21" s="17">
        <v>767</v>
      </c>
      <c r="G21" s="16">
        <f>E21/F21/31</f>
        <v>152.47047398746687</v>
      </c>
      <c r="I21" s="16">
        <v>1268851.68</v>
      </c>
      <c r="J21" s="16">
        <v>1486369.07</v>
      </c>
      <c r="K21" s="16">
        <v>362529.04</v>
      </c>
      <c r="L21" s="16">
        <v>362529.04</v>
      </c>
      <c r="M21" s="16">
        <v>145011.63</v>
      </c>
    </row>
    <row r="22" spans="1:13" ht="12.75">
      <c r="A22" s="3">
        <v>41214</v>
      </c>
      <c r="B22" s="16">
        <v>42704823.15</v>
      </c>
      <c r="C22" s="16">
        <v>393565.73</v>
      </c>
      <c r="D22" s="16">
        <f t="shared" si="0"/>
        <v>38901458.68</v>
      </c>
      <c r="E22" s="16">
        <v>3409798.74</v>
      </c>
      <c r="F22" s="17">
        <v>767</v>
      </c>
      <c r="G22" s="16">
        <f>E22/F22/30</f>
        <v>148.1876897001304</v>
      </c>
      <c r="I22" s="16">
        <v>1193429.56</v>
      </c>
      <c r="J22" s="16">
        <v>1398017.48</v>
      </c>
      <c r="K22" s="16">
        <v>340979.87</v>
      </c>
      <c r="L22" s="16">
        <v>340979.87</v>
      </c>
      <c r="M22" s="16">
        <v>136391.95</v>
      </c>
    </row>
    <row r="23" spans="1:13" ht="12.75">
      <c r="A23" s="3">
        <v>41244</v>
      </c>
      <c r="B23" s="16">
        <v>37823249</v>
      </c>
      <c r="C23" s="16">
        <f>366417.72-13424</f>
        <v>352993.72</v>
      </c>
      <c r="D23" s="16">
        <f t="shared" si="0"/>
        <v>34429995.6</v>
      </c>
      <c r="E23" s="16">
        <v>3040259.68</v>
      </c>
      <c r="F23" s="17">
        <v>767</v>
      </c>
      <c r="G23" s="16">
        <f>E23/F23/31</f>
        <v>127.86557092989023</v>
      </c>
      <c r="I23" s="16">
        <v>1064090.9</v>
      </c>
      <c r="J23" s="16">
        <v>1246506.48</v>
      </c>
      <c r="K23" s="16">
        <v>304025.97</v>
      </c>
      <c r="L23" s="16">
        <v>304025.97</v>
      </c>
      <c r="M23" s="16">
        <v>121610.37</v>
      </c>
    </row>
    <row r="24" spans="1:13" ht="12.75">
      <c r="A24" s="3">
        <v>41275</v>
      </c>
      <c r="B24" s="16">
        <v>38582776.35</v>
      </c>
      <c r="C24" s="16">
        <f>349348.1-25</f>
        <v>349323.1</v>
      </c>
      <c r="D24" s="16">
        <f t="shared" si="0"/>
        <v>35115802.61</v>
      </c>
      <c r="E24" s="16">
        <v>3117650.64</v>
      </c>
      <c r="F24" s="17">
        <v>767</v>
      </c>
      <c r="G24" s="16">
        <f>E24/F24/31</f>
        <v>131.12043739748498</v>
      </c>
      <c r="I24" s="16">
        <v>1091177.7</v>
      </c>
      <c r="J24" s="16">
        <v>1278236.77</v>
      </c>
      <c r="K24" s="16">
        <v>311765.06</v>
      </c>
      <c r="L24" s="16">
        <v>311765.06</v>
      </c>
      <c r="M24" s="16">
        <v>124706.01</v>
      </c>
    </row>
    <row r="25" spans="1:13" ht="12.75">
      <c r="A25" s="3">
        <v>41306</v>
      </c>
      <c r="B25" s="16">
        <v>39185630.76</v>
      </c>
      <c r="C25" s="16">
        <v>340071.01</v>
      </c>
      <c r="D25" s="16">
        <f t="shared" si="0"/>
        <v>35658067</v>
      </c>
      <c r="E25" s="16">
        <v>3187492.75</v>
      </c>
      <c r="F25" s="17">
        <v>767</v>
      </c>
      <c r="G25" s="16">
        <f>E25/F25/28</f>
        <v>148.42115617433413</v>
      </c>
      <c r="I25" s="16">
        <v>1115622.46</v>
      </c>
      <c r="J25" s="16">
        <v>1306872.04</v>
      </c>
      <c r="K25" s="16">
        <v>318749.26</v>
      </c>
      <c r="L25" s="16">
        <v>318749.26</v>
      </c>
      <c r="M25" s="16">
        <v>127499.7</v>
      </c>
    </row>
    <row r="26" spans="1:13" ht="12.75">
      <c r="A26" s="3">
        <v>41334</v>
      </c>
      <c r="B26" s="16">
        <v>46540967.46</v>
      </c>
      <c r="C26" s="16">
        <v>356103.07</v>
      </c>
      <c r="D26" s="16">
        <f t="shared" si="0"/>
        <v>42312314.86</v>
      </c>
      <c r="E26" s="16">
        <v>3872549.53</v>
      </c>
      <c r="F26" s="17">
        <v>767</v>
      </c>
      <c r="G26" s="16">
        <f>E26/F26/31</f>
        <v>162.869560079068</v>
      </c>
      <c r="I26" s="16">
        <v>1355392.34</v>
      </c>
      <c r="J26" s="16">
        <v>1587745.34</v>
      </c>
      <c r="K26" s="16">
        <v>387254.95</v>
      </c>
      <c r="L26" s="16">
        <v>387254.95</v>
      </c>
      <c r="M26" s="16">
        <v>154902.02</v>
      </c>
    </row>
    <row r="27" spans="1:13" ht="13.5" thickBot="1">
      <c r="A27" s="3" t="s">
        <v>20</v>
      </c>
      <c r="B27" s="18">
        <f>SUM(B15:B26)</f>
        <v>540471999.76</v>
      </c>
      <c r="C27" s="18">
        <f>SUM(C15:C26)</f>
        <v>4570616.720000001</v>
      </c>
      <c r="D27" s="18">
        <f>SUM(D15:D26)</f>
        <v>492289615.6100001</v>
      </c>
      <c r="E27" s="18">
        <f>SUM(E15:E26)</f>
        <v>43611767.43</v>
      </c>
      <c r="I27" s="18">
        <f>SUM(I15:I26)</f>
        <v>15264118.650000002</v>
      </c>
      <c r="J27" s="18">
        <f>SUM(J15:J26)</f>
        <v>17880824.7</v>
      </c>
      <c r="K27" s="18">
        <f>SUM(K15:K26)</f>
        <v>4361176.850000001</v>
      </c>
      <c r="L27" s="18">
        <f>SUM(L15:L26)</f>
        <v>4361176.83</v>
      </c>
      <c r="M27" s="18">
        <f>SUM(M15:M26)</f>
        <v>1744470.6399999997</v>
      </c>
    </row>
    <row r="28" spans="2:13" ht="10.5" customHeight="1" thickTop="1">
      <c r="B28" s="19"/>
      <c r="C28" s="19"/>
      <c r="D28" s="19"/>
      <c r="E28" s="19"/>
      <c r="I28" s="19"/>
      <c r="J28" s="19"/>
      <c r="K28" s="19"/>
      <c r="L28" s="19"/>
      <c r="M28" s="19"/>
    </row>
    <row r="29" spans="1:13" s="22" customFormat="1" ht="12.75">
      <c r="A29" s="20"/>
      <c r="B29" s="21"/>
      <c r="C29" s="21">
        <f>C27/B27</f>
        <v>0.0084567132469945</v>
      </c>
      <c r="D29" s="21">
        <f>D27/B27</f>
        <v>0.9108512852258848</v>
      </c>
      <c r="E29" s="21">
        <f>E27/B27</f>
        <v>0.08069200152712089</v>
      </c>
      <c r="I29" s="21">
        <f>I27/$E$27</f>
        <v>0.35000000113501484</v>
      </c>
      <c r="J29" s="21">
        <f>J27/$E$27</f>
        <v>0.410000001231319</v>
      </c>
      <c r="K29" s="21">
        <f>K27/$E$27</f>
        <v>0.10000000245346627</v>
      </c>
      <c r="L29" s="21">
        <f>L27/$E$27</f>
        <v>0.10000000199487444</v>
      </c>
      <c r="M29" s="21">
        <f>M27/$E$27</f>
        <v>0.03999999868842737</v>
      </c>
    </row>
    <row r="31" spans="1:13" s="23" customFormat="1" ht="12.75">
      <c r="A31" s="81" t="s">
        <v>21</v>
      </c>
      <c r="B31" s="82"/>
      <c r="C31" s="82"/>
      <c r="D31" s="82"/>
      <c r="E31" s="82"/>
      <c r="F31" s="82"/>
      <c r="G31" s="82"/>
      <c r="H31" s="82"/>
      <c r="I31" s="82"/>
      <c r="J31" s="82"/>
      <c r="K31" s="82"/>
      <c r="L31" s="82"/>
      <c r="M31" s="88"/>
    </row>
    <row r="32" ht="12.75">
      <c r="A32" s="24"/>
    </row>
    <row r="33" spans="1:12" s="45" customFormat="1" ht="12.75" customHeight="1">
      <c r="A33" s="41" t="s">
        <v>22</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79</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23</v>
      </c>
      <c r="B38" s="42"/>
      <c r="C38" s="43" t="s">
        <v>24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25</v>
      </c>
      <c r="B40" s="42"/>
      <c r="C40" s="42" t="s">
        <v>55</v>
      </c>
      <c r="E40" s="46"/>
      <c r="F40" s="47"/>
      <c r="G40" s="42"/>
      <c r="H40" s="42"/>
      <c r="I40" s="42"/>
      <c r="J40" s="42"/>
      <c r="K40" s="42"/>
      <c r="L40" s="42"/>
      <c r="M40" s="42"/>
    </row>
    <row r="41" spans="1:13" s="45" customFormat="1" ht="12.75">
      <c r="A41" s="41"/>
      <c r="B41" s="42"/>
      <c r="C41" s="42" t="s">
        <v>56</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28</v>
      </c>
      <c r="B43" s="42"/>
      <c r="C43" s="42" t="s">
        <v>29</v>
      </c>
      <c r="E43" s="46"/>
      <c r="F43" s="47"/>
      <c r="G43" s="42"/>
      <c r="H43" s="42"/>
      <c r="I43" s="42"/>
      <c r="J43" s="42"/>
      <c r="K43" s="42"/>
      <c r="L43" s="42"/>
      <c r="M43" s="42"/>
    </row>
    <row r="44" spans="1:13" s="45" customFormat="1" ht="6" customHeight="1">
      <c r="A44" s="41"/>
      <c r="B44" s="42"/>
      <c r="C44" s="42"/>
      <c r="D44" s="42"/>
      <c r="E44" s="46"/>
      <c r="F44" s="47"/>
      <c r="G44" s="42"/>
      <c r="H44" s="42"/>
      <c r="I44" s="42"/>
      <c r="J44" s="42"/>
      <c r="K44" s="42"/>
      <c r="L44" s="42"/>
      <c r="M44" s="42"/>
    </row>
    <row r="45" spans="1:12" s="45" customFormat="1" ht="12.75">
      <c r="A45" s="41" t="s">
        <v>68</v>
      </c>
      <c r="B45" s="42"/>
      <c r="C45" s="42" t="s">
        <v>69</v>
      </c>
      <c r="D45" s="46"/>
      <c r="E45" s="47"/>
      <c r="F45" s="42"/>
      <c r="G45" s="42"/>
      <c r="H45" s="42"/>
      <c r="I45" s="42"/>
      <c r="J45" s="42"/>
      <c r="K45" s="42"/>
      <c r="L45" s="42"/>
    </row>
    <row r="46" spans="1:12" s="45" customFormat="1" ht="12.75">
      <c r="A46" s="41"/>
      <c r="B46" s="42"/>
      <c r="C46" s="42" t="s">
        <v>76</v>
      </c>
      <c r="D46" s="46"/>
      <c r="E46" s="47"/>
      <c r="F46" s="42"/>
      <c r="G46" s="42"/>
      <c r="H46" s="42"/>
      <c r="I46" s="42"/>
      <c r="J46" s="42"/>
      <c r="K46" s="42"/>
      <c r="L46" s="42"/>
    </row>
    <row r="47" spans="1:12" s="45" customFormat="1" ht="12.75">
      <c r="A47" s="41"/>
      <c r="B47" s="42"/>
      <c r="C47" s="42" t="s">
        <v>77</v>
      </c>
      <c r="D47" s="46"/>
      <c r="E47" s="47"/>
      <c r="F47" s="42"/>
      <c r="G47" s="42"/>
      <c r="H47" s="42"/>
      <c r="I47" s="42"/>
      <c r="J47" s="42"/>
      <c r="K47" s="42"/>
      <c r="L47" s="42"/>
    </row>
    <row r="48" spans="1:13" s="45" customFormat="1" ht="6" customHeight="1">
      <c r="A48" s="41"/>
      <c r="B48" s="42"/>
      <c r="C48" s="42"/>
      <c r="D48" s="42"/>
      <c r="E48" s="46"/>
      <c r="F48" s="47"/>
      <c r="G48" s="42"/>
      <c r="H48" s="42"/>
      <c r="I48" s="42"/>
      <c r="J48" s="42"/>
      <c r="K48" s="42"/>
      <c r="L48" s="42"/>
      <c r="M48" s="42"/>
    </row>
    <row r="49" spans="1:12" s="45" customFormat="1" ht="12.75">
      <c r="A49" s="41" t="s">
        <v>30</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3" s="45" customFormat="1" ht="6" customHeight="1">
      <c r="A51" s="41"/>
      <c r="B51" s="42"/>
      <c r="C51" s="42"/>
      <c r="D51" s="42"/>
      <c r="E51" s="46"/>
      <c r="F51" s="47"/>
      <c r="G51" s="42"/>
      <c r="H51" s="42"/>
      <c r="I51" s="42"/>
      <c r="J51" s="42"/>
      <c r="K51" s="42"/>
      <c r="L51" s="42"/>
      <c r="M51" s="42"/>
    </row>
    <row r="52" spans="1:12" s="45" customFormat="1" ht="12.75">
      <c r="A52" s="41" t="s">
        <v>78</v>
      </c>
      <c r="B52" s="42"/>
      <c r="C52" s="42" t="s">
        <v>71</v>
      </c>
      <c r="D52" s="46"/>
      <c r="E52" s="47"/>
      <c r="F52" s="42"/>
      <c r="G52" s="42"/>
      <c r="H52" s="42"/>
      <c r="I52" s="42"/>
      <c r="J52" s="42"/>
      <c r="K52" s="42"/>
      <c r="L52" s="42"/>
    </row>
    <row r="53" spans="1:12" s="45" customFormat="1" ht="12.75">
      <c r="A53" s="48"/>
      <c r="B53" s="42"/>
      <c r="C53" s="42" t="s">
        <v>72</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47</v>
      </c>
      <c r="B55" s="42"/>
      <c r="C55" s="42" t="s">
        <v>57</v>
      </c>
      <c r="E55" s="46"/>
      <c r="F55" s="47"/>
      <c r="G55" s="42"/>
      <c r="H55" s="42"/>
      <c r="I55" s="42"/>
      <c r="J55" s="42"/>
      <c r="K55" s="42"/>
      <c r="L55" s="42"/>
      <c r="M55" s="46"/>
    </row>
    <row r="56" spans="1:13" s="45" customFormat="1" ht="12.75">
      <c r="A56" s="48"/>
      <c r="B56" s="42"/>
      <c r="C56" s="42" t="s">
        <v>58</v>
      </c>
      <c r="E56" s="46"/>
      <c r="F56" s="47"/>
      <c r="G56" s="42"/>
      <c r="H56" s="42"/>
      <c r="I56" s="42"/>
      <c r="J56" s="42"/>
      <c r="K56" s="42"/>
      <c r="L56" s="42"/>
      <c r="M56" s="46"/>
    </row>
    <row r="57" spans="1:13" s="45" customFormat="1" ht="12.75">
      <c r="A57" s="48"/>
      <c r="B57" s="42"/>
      <c r="C57" s="42" t="s">
        <v>59</v>
      </c>
      <c r="E57" s="46"/>
      <c r="F57" s="47"/>
      <c r="G57" s="42"/>
      <c r="H57" s="42"/>
      <c r="I57" s="42"/>
      <c r="J57" s="42"/>
      <c r="K57" s="42"/>
      <c r="L57" s="42"/>
      <c r="M57" s="46"/>
    </row>
    <row r="58" spans="1:12" ht="12.75">
      <c r="A58" s="28"/>
      <c r="B58" s="26"/>
      <c r="C58" s="26"/>
      <c r="D58" s="26"/>
      <c r="F58" s="27"/>
      <c r="G58" s="26"/>
      <c r="H58" s="26"/>
      <c r="I58" s="26"/>
      <c r="J58" s="26"/>
      <c r="K58" s="26"/>
      <c r="L58" s="26"/>
    </row>
    <row r="59" spans="1:13" ht="12.75">
      <c r="A59" s="81" t="s">
        <v>31</v>
      </c>
      <c r="B59" s="82"/>
      <c r="C59" s="82"/>
      <c r="D59" s="82"/>
      <c r="E59" s="82"/>
      <c r="F59" s="82"/>
      <c r="G59" s="82"/>
      <c r="H59" s="82"/>
      <c r="I59" s="82"/>
      <c r="J59" s="82"/>
      <c r="K59" s="82"/>
      <c r="L59" s="82"/>
      <c r="M59" s="88"/>
    </row>
    <row r="60" ht="12.75">
      <c r="A60" s="24"/>
    </row>
    <row r="61" spans="1:13" ht="13.5">
      <c r="A61" s="32"/>
      <c r="E61" s="10" t="s">
        <v>9</v>
      </c>
      <c r="F61" s="83" t="s">
        <v>83</v>
      </c>
      <c r="G61" s="83"/>
      <c r="H61" s="83"/>
      <c r="I61" s="83"/>
      <c r="J61" s="10" t="s">
        <v>10</v>
      </c>
      <c r="K61" s="53" t="s">
        <v>74</v>
      </c>
      <c r="L61" s="10" t="s">
        <v>45</v>
      </c>
      <c r="M61" s="34"/>
    </row>
    <row r="62" spans="1:13" ht="12.75">
      <c r="A62" s="35"/>
      <c r="E62" s="8" t="s">
        <v>17</v>
      </c>
      <c r="F62" s="8" t="s">
        <v>80</v>
      </c>
      <c r="G62" s="57" t="s">
        <v>81</v>
      </c>
      <c r="H62" s="36"/>
      <c r="I62" s="8" t="s">
        <v>82</v>
      </c>
      <c r="J62" s="8" t="s">
        <v>19</v>
      </c>
      <c r="K62" s="54" t="s">
        <v>75</v>
      </c>
      <c r="L62" s="8" t="s">
        <v>46</v>
      </c>
      <c r="M62" s="34"/>
    </row>
    <row r="63" spans="2:13" ht="12.75">
      <c r="B63" s="37" t="s">
        <v>50</v>
      </c>
      <c r="C63" s="37"/>
      <c r="D63" s="37"/>
      <c r="E63" s="55">
        <v>0.35</v>
      </c>
      <c r="F63" s="55">
        <v>0.31</v>
      </c>
      <c r="G63" s="58">
        <v>0.0875</v>
      </c>
      <c r="H63" s="56"/>
      <c r="I63" s="55">
        <v>0.0125</v>
      </c>
      <c r="J63" s="55">
        <v>0.1</v>
      </c>
      <c r="K63" s="55">
        <v>0.1</v>
      </c>
      <c r="L63" s="55">
        <v>0.04</v>
      </c>
      <c r="M63" s="39"/>
    </row>
    <row r="64" spans="2:13" ht="12.75">
      <c r="B64" s="37" t="s">
        <v>51</v>
      </c>
      <c r="C64" s="37"/>
      <c r="D64" s="37"/>
      <c r="E64" s="55">
        <v>0.39</v>
      </c>
      <c r="F64" s="55">
        <v>0.31</v>
      </c>
      <c r="G64" s="58">
        <v>0.0875</v>
      </c>
      <c r="H64" s="56"/>
      <c r="I64" s="55">
        <v>0.0125</v>
      </c>
      <c r="J64" s="55">
        <v>0.1</v>
      </c>
      <c r="K64" s="55">
        <v>0.1</v>
      </c>
      <c r="L64" s="55">
        <v>0</v>
      </c>
      <c r="M64" s="39"/>
    </row>
    <row r="65" spans="1:13" s="23" customFormat="1" ht="12.75">
      <c r="A65" s="3"/>
      <c r="B65" s="37" t="s">
        <v>48</v>
      </c>
      <c r="C65" s="37"/>
      <c r="D65" s="37"/>
      <c r="E65" s="55">
        <v>0.41</v>
      </c>
      <c r="F65" s="55">
        <v>0.31</v>
      </c>
      <c r="G65" s="58">
        <v>0.0875</v>
      </c>
      <c r="H65" s="56"/>
      <c r="I65" s="55">
        <v>0.0125</v>
      </c>
      <c r="J65" s="55">
        <v>0.08</v>
      </c>
      <c r="K65" s="55">
        <v>0.1</v>
      </c>
      <c r="L65" s="55">
        <v>0</v>
      </c>
      <c r="M65" s="39"/>
    </row>
    <row r="66" spans="1:13" s="23" customFormat="1" ht="12.75">
      <c r="A66" s="3"/>
      <c r="B66" s="37"/>
      <c r="C66" s="37"/>
      <c r="D66" s="37"/>
      <c r="E66" s="26"/>
      <c r="F66" s="27"/>
      <c r="G66" s="38"/>
      <c r="H66" s="26"/>
      <c r="I66" s="38"/>
      <c r="J66" s="38"/>
      <c r="K66" s="38"/>
      <c r="L66" s="38"/>
      <c r="M66" s="39"/>
    </row>
    <row r="67" spans="1:13" ht="12.75">
      <c r="A67" s="84" t="s">
        <v>39</v>
      </c>
      <c r="B67" s="85"/>
      <c r="C67" s="85"/>
      <c r="D67" s="85"/>
      <c r="E67" s="85"/>
      <c r="F67" s="85"/>
      <c r="G67" s="85"/>
      <c r="H67" s="85"/>
      <c r="I67" s="85"/>
      <c r="J67" s="85"/>
      <c r="K67" s="85"/>
      <c r="L67" s="85"/>
      <c r="M67" s="89"/>
    </row>
    <row r="68" spans="1:6" ht="9.75" customHeight="1">
      <c r="A68" s="24"/>
      <c r="E68"/>
      <c r="F68" s="16"/>
    </row>
    <row r="69" spans="1:13" ht="54" customHeight="1">
      <c r="A69" s="86" t="s">
        <v>89</v>
      </c>
      <c r="B69" s="87"/>
      <c r="C69" s="87"/>
      <c r="D69" s="87"/>
      <c r="E69" s="87"/>
      <c r="F69" s="87"/>
      <c r="G69" s="87"/>
      <c r="H69" s="87"/>
      <c r="I69" s="87"/>
      <c r="J69" s="87"/>
      <c r="K69" s="87"/>
      <c r="L69" s="87"/>
      <c r="M69" s="87"/>
    </row>
    <row r="70" spans="1:6" ht="12.75">
      <c r="A70" s="16"/>
      <c r="E70"/>
      <c r="F70" s="16"/>
    </row>
    <row r="71" spans="2:5" ht="12.75">
      <c r="B71" s="24" t="s">
        <v>40</v>
      </c>
      <c r="C71" s="24"/>
      <c r="D71" s="24"/>
      <c r="E71" s="16">
        <v>89000</v>
      </c>
    </row>
    <row r="72" spans="2:5" ht="12.75">
      <c r="B72" s="24" t="s">
        <v>41</v>
      </c>
      <c r="C72" s="24"/>
      <c r="D72" s="24"/>
      <c r="E72" s="16">
        <v>150000</v>
      </c>
    </row>
    <row r="73" spans="2:5" ht="12.75">
      <c r="B73" s="16" t="s">
        <v>42</v>
      </c>
      <c r="E73" s="16">
        <v>166000</v>
      </c>
    </row>
    <row r="74" ht="7.5" customHeight="1">
      <c r="E74" s="16" t="s">
        <v>36</v>
      </c>
    </row>
    <row r="76" ht="12.75">
      <c r="A76" s="28" t="s">
        <v>91</v>
      </c>
    </row>
  </sheetData>
  <sheetProtection/>
  <mergeCells count="12">
    <mergeCell ref="A1:M1"/>
    <mergeCell ref="A2:M2"/>
    <mergeCell ref="A3:M3"/>
    <mergeCell ref="A4:M4"/>
    <mergeCell ref="A5:M5"/>
    <mergeCell ref="A8:M8"/>
    <mergeCell ref="I10:M10"/>
    <mergeCell ref="A31:M31"/>
    <mergeCell ref="A59:M59"/>
    <mergeCell ref="F61:I61"/>
    <mergeCell ref="A67:M67"/>
    <mergeCell ref="A69:M69"/>
  </mergeCells>
  <hyperlinks>
    <hyperlink ref="A4" r:id="rId1" display="www.vernondowns.com"/>
  </hyperlinks>
  <printOptions horizontalCentered="1"/>
  <pageMargins left="0.25" right="0.25" top="0.75" bottom="0.5" header="0.5" footer="0.5"/>
  <pageSetup fitToHeight="1" fitToWidth="1" horizontalDpi="600" verticalDpi="600" orientation="portrait" scale="71" r:id="rId3"/>
  <drawing r:id="rId2"/>
</worksheet>
</file>

<file path=xl/worksheets/sheet13.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A28" sqref="A28"/>
    </sheetView>
  </sheetViews>
  <sheetFormatPr defaultColWidth="9.140625" defaultRowHeight="12.75"/>
  <cols>
    <col min="1" max="1" width="9.28125" style="3" customWidth="1"/>
    <col min="2" max="2" width="14.140625" style="16" customWidth="1"/>
    <col min="3" max="3" width="13.57421875" style="16" customWidth="1"/>
    <col min="4" max="4" width="14.140625" style="16" customWidth="1"/>
    <col min="5" max="5" width="12.7109375" style="16" customWidth="1"/>
    <col min="6" max="6" width="8.57421875" style="17" customWidth="1"/>
    <col min="7" max="7" width="9.57421875" style="16" customWidth="1"/>
    <col min="8" max="8" width="1.421875" style="16" customWidth="1"/>
    <col min="9" max="9" width="13.00390625" style="16" customWidth="1"/>
    <col min="10" max="10" width="12.7109375" style="16" customWidth="1"/>
    <col min="11" max="12" width="12.8515625" style="16" bestFit="1" customWidth="1"/>
    <col min="13" max="13" width="11.28125" style="16" customWidth="1"/>
    <col min="14" max="14" width="12.7109375" style="0" customWidth="1"/>
  </cols>
  <sheetData>
    <row r="1" spans="1:13" ht="18">
      <c r="A1" s="77" t="s">
        <v>52</v>
      </c>
      <c r="B1" s="77"/>
      <c r="C1" s="77"/>
      <c r="D1" s="77"/>
      <c r="E1" s="77"/>
      <c r="F1" s="77"/>
      <c r="G1" s="77"/>
      <c r="H1" s="77"/>
      <c r="I1" s="77"/>
      <c r="J1" s="77"/>
      <c r="K1" s="77"/>
      <c r="L1" s="77"/>
      <c r="M1" s="77"/>
    </row>
    <row r="2" spans="1:13" ht="15">
      <c r="A2" s="78" t="s">
        <v>0</v>
      </c>
      <c r="B2" s="78"/>
      <c r="C2" s="78"/>
      <c r="D2" s="78"/>
      <c r="E2" s="78"/>
      <c r="F2" s="78"/>
      <c r="G2" s="78"/>
      <c r="H2" s="78"/>
      <c r="I2" s="78"/>
      <c r="J2" s="78"/>
      <c r="K2" s="78"/>
      <c r="L2" s="78"/>
      <c r="M2" s="78"/>
    </row>
    <row r="3" spans="1:13" s="1" customFormat="1" ht="15">
      <c r="A3" s="78" t="s">
        <v>1</v>
      </c>
      <c r="B3" s="78"/>
      <c r="C3" s="78"/>
      <c r="D3" s="78"/>
      <c r="E3" s="78"/>
      <c r="F3" s="78"/>
      <c r="G3" s="78"/>
      <c r="H3" s="78"/>
      <c r="I3" s="78"/>
      <c r="J3" s="78"/>
      <c r="K3" s="78"/>
      <c r="L3" s="78"/>
      <c r="M3" s="78"/>
    </row>
    <row r="4" spans="1:13" s="1" customFormat="1" ht="14.25" customHeight="1">
      <c r="A4" s="79" t="s">
        <v>2</v>
      </c>
      <c r="B4" s="79"/>
      <c r="C4" s="79"/>
      <c r="D4" s="79"/>
      <c r="E4" s="79"/>
      <c r="F4" s="79"/>
      <c r="G4" s="79"/>
      <c r="H4" s="79"/>
      <c r="I4" s="79"/>
      <c r="J4" s="79"/>
      <c r="K4" s="79"/>
      <c r="L4" s="79"/>
      <c r="M4" s="79"/>
    </row>
    <row r="5" spans="1:13" s="1" customFormat="1" ht="14.25">
      <c r="A5" s="80" t="s">
        <v>84</v>
      </c>
      <c r="B5" s="80"/>
      <c r="C5" s="80"/>
      <c r="D5" s="80"/>
      <c r="E5" s="80"/>
      <c r="F5" s="80"/>
      <c r="G5" s="80"/>
      <c r="H5" s="80"/>
      <c r="I5" s="80"/>
      <c r="J5" s="80"/>
      <c r="K5" s="80"/>
      <c r="L5" s="80"/>
      <c r="M5" s="80"/>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81" t="s">
        <v>64</v>
      </c>
      <c r="B8" s="82"/>
      <c r="C8" s="82"/>
      <c r="D8" s="82"/>
      <c r="E8" s="82"/>
      <c r="F8" s="82"/>
      <c r="G8" s="82"/>
      <c r="H8" s="82"/>
      <c r="I8" s="82"/>
      <c r="J8" s="82"/>
      <c r="K8" s="82"/>
      <c r="L8" s="82"/>
      <c r="M8" s="88"/>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83" t="s">
        <v>5</v>
      </c>
      <c r="J10" s="83"/>
      <c r="K10" s="83"/>
      <c r="L10" s="83"/>
      <c r="M10" s="83"/>
    </row>
    <row r="11" spans="1:13" s="1" customFormat="1" ht="12.75">
      <c r="A11" s="3"/>
      <c r="B11" s="5"/>
      <c r="C11" s="5"/>
      <c r="D11" s="5"/>
      <c r="E11" s="5"/>
      <c r="F11" s="6"/>
      <c r="G11" s="5"/>
      <c r="H11" s="5"/>
      <c r="I11" s="5"/>
      <c r="J11" s="5"/>
      <c r="K11" s="5"/>
      <c r="L11" s="5"/>
      <c r="M11" s="5"/>
    </row>
    <row r="12" spans="1:13" s="12" customFormat="1" ht="12">
      <c r="A12" s="9"/>
      <c r="B12" s="10" t="s">
        <v>6</v>
      </c>
      <c r="C12" s="10" t="s">
        <v>65</v>
      </c>
      <c r="D12" s="10" t="s">
        <v>6</v>
      </c>
      <c r="E12" s="10"/>
      <c r="F12" s="11" t="s">
        <v>7</v>
      </c>
      <c r="G12" s="10" t="s">
        <v>8</v>
      </c>
      <c r="H12" s="10"/>
      <c r="I12" s="10" t="s">
        <v>9</v>
      </c>
      <c r="J12" s="10" t="s">
        <v>73</v>
      </c>
      <c r="K12" s="10" t="s">
        <v>10</v>
      </c>
      <c r="L12" s="10" t="s">
        <v>74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75</v>
      </c>
      <c r="M13" s="8" t="s">
        <v>46</v>
      </c>
    </row>
    <row r="15" spans="1:13" ht="12.75">
      <c r="A15" s="3">
        <v>40634</v>
      </c>
      <c r="B15" s="16">
        <v>43280956.35</v>
      </c>
      <c r="C15" s="16">
        <v>196100.67</v>
      </c>
      <c r="D15" s="16">
        <f aca="true" t="shared" si="0" ref="D15:D26">+B15-C15-E15</f>
        <v>39504277.95</v>
      </c>
      <c r="E15" s="16">
        <v>3580577.73</v>
      </c>
      <c r="F15" s="17">
        <v>761</v>
      </c>
      <c r="G15" s="16">
        <f>E15/F15/30</f>
        <v>156.8365190538765</v>
      </c>
      <c r="I15" s="16">
        <v>1253202.2</v>
      </c>
      <c r="J15" s="16">
        <v>1468036.87</v>
      </c>
      <c r="K15" s="16">
        <v>358057.79</v>
      </c>
      <c r="L15" s="16">
        <v>358057.79</v>
      </c>
      <c r="M15" s="16">
        <v>143223.11</v>
      </c>
    </row>
    <row r="16" spans="1:13" ht="12.75">
      <c r="A16" s="3">
        <v>40664</v>
      </c>
      <c r="B16" s="16">
        <v>46708370.99</v>
      </c>
      <c r="C16" s="16">
        <v>338949.47</v>
      </c>
      <c r="D16" s="16">
        <f t="shared" si="0"/>
        <v>42521380.93000001</v>
      </c>
      <c r="E16" s="16">
        <v>3848040.59</v>
      </c>
      <c r="F16" s="17">
        <v>761</v>
      </c>
      <c r="G16" s="16">
        <f>E16/F16/31</f>
        <v>163.11477215887413</v>
      </c>
      <c r="I16" s="16">
        <v>1346814.19</v>
      </c>
      <c r="J16" s="16">
        <v>1577696.66</v>
      </c>
      <c r="K16" s="16">
        <v>384804.05</v>
      </c>
      <c r="L16" s="16">
        <v>384804.05</v>
      </c>
      <c r="M16" s="16">
        <v>153921.6</v>
      </c>
    </row>
    <row r="17" spans="1:13" ht="12.75">
      <c r="A17" s="3">
        <v>40695</v>
      </c>
      <c r="B17" s="16">
        <v>45665991.87</v>
      </c>
      <c r="C17" s="16">
        <f>352976.33-39760</f>
        <v>313216.33</v>
      </c>
      <c r="D17" s="16">
        <f t="shared" si="0"/>
        <v>41630070.79</v>
      </c>
      <c r="E17" s="16">
        <v>3722704.75</v>
      </c>
      <c r="F17" s="17">
        <v>761</v>
      </c>
      <c r="G17" s="16">
        <f>E17/F17/30</f>
        <v>163.0619689005694</v>
      </c>
      <c r="I17" s="16">
        <v>1302946.7</v>
      </c>
      <c r="J17" s="16">
        <v>1526308.94</v>
      </c>
      <c r="K17" s="16">
        <v>372270.51</v>
      </c>
      <c r="L17" s="16">
        <v>372270.51</v>
      </c>
      <c r="M17" s="16">
        <v>148908.21</v>
      </c>
    </row>
    <row r="18" spans="1:13" ht="12.75">
      <c r="A18" s="3">
        <v>40725</v>
      </c>
      <c r="B18" s="16">
        <v>53210106.92</v>
      </c>
      <c r="C18" s="16">
        <v>443925.44</v>
      </c>
      <c r="D18" s="16">
        <f t="shared" si="0"/>
        <v>48638159.77</v>
      </c>
      <c r="E18" s="16">
        <v>4128021.71</v>
      </c>
      <c r="F18" s="17">
        <v>760.6129032258065</v>
      </c>
      <c r="G18" s="16">
        <f>E18/F18/31</f>
        <v>175.071958522414</v>
      </c>
      <c r="I18" s="16">
        <v>1444807.62</v>
      </c>
      <c r="J18" s="16">
        <v>1692488.89</v>
      </c>
      <c r="K18" s="16">
        <v>412802.19</v>
      </c>
      <c r="L18" s="16">
        <v>412802.19</v>
      </c>
      <c r="M18" s="16">
        <v>165120.87</v>
      </c>
    </row>
    <row r="19" spans="1:13" ht="12.75">
      <c r="A19" s="3">
        <v>40756</v>
      </c>
      <c r="B19" s="16">
        <v>50065276.75</v>
      </c>
      <c r="C19" s="16">
        <v>407100.18</v>
      </c>
      <c r="D19" s="16">
        <f t="shared" si="0"/>
        <v>45660084.06</v>
      </c>
      <c r="E19" s="16">
        <v>3998092.51</v>
      </c>
      <c r="F19" s="17">
        <v>767</v>
      </c>
      <c r="G19" s="16">
        <f>E19/F19/31</f>
        <v>168.1495777431972</v>
      </c>
      <c r="I19" s="16">
        <v>1399332.41</v>
      </c>
      <c r="J19" s="16">
        <v>1639217.96</v>
      </c>
      <c r="K19" s="16">
        <v>399809.24</v>
      </c>
      <c r="L19" s="16">
        <v>399802.24</v>
      </c>
      <c r="M19" s="16">
        <v>159923.74</v>
      </c>
    </row>
    <row r="20" spans="1:13" ht="12.75">
      <c r="A20" s="3">
        <v>40787</v>
      </c>
      <c r="B20" s="16">
        <v>50325963.97</v>
      </c>
      <c r="C20" s="16">
        <v>480543.17</v>
      </c>
      <c r="D20" s="16">
        <f t="shared" si="0"/>
        <v>45996766.44</v>
      </c>
      <c r="E20" s="16">
        <v>3848654.36</v>
      </c>
      <c r="F20" s="17">
        <v>767</v>
      </c>
      <c r="G20" s="16">
        <f>E20/F20/30</f>
        <v>167.26007648848326</v>
      </c>
      <c r="I20" s="16">
        <v>1347029</v>
      </c>
      <c r="J20" s="16">
        <v>1577948.3</v>
      </c>
      <c r="K20" s="16">
        <v>384865.46</v>
      </c>
      <c r="L20" s="16">
        <v>384865.46</v>
      </c>
      <c r="M20" s="16">
        <v>153946.17</v>
      </c>
    </row>
    <row r="21" spans="1:13" ht="12.75">
      <c r="A21" s="3">
        <v>40817</v>
      </c>
      <c r="B21" s="16">
        <v>47078140.47</v>
      </c>
      <c r="C21" s="16">
        <f>442077.34-2027.1</f>
        <v>440050.24000000005</v>
      </c>
      <c r="D21" s="16">
        <f t="shared" si="0"/>
        <v>42979606.48</v>
      </c>
      <c r="E21" s="16">
        <v>3658483.75</v>
      </c>
      <c r="F21" s="17">
        <v>767</v>
      </c>
      <c r="G21" s="16">
        <f>E21/F21/31</f>
        <v>153.86649913782225</v>
      </c>
      <c r="I21" s="16">
        <v>1280469.34</v>
      </c>
      <c r="J21" s="16">
        <v>1499978.36</v>
      </c>
      <c r="K21" s="16">
        <v>365848.39</v>
      </c>
      <c r="L21" s="16">
        <v>365848.38</v>
      </c>
      <c r="M21" s="16">
        <v>146339.31</v>
      </c>
    </row>
    <row r="22" spans="1:13" ht="12.75">
      <c r="A22" s="3">
        <v>40848</v>
      </c>
      <c r="B22" s="16">
        <v>41277388.9</v>
      </c>
      <c r="C22" s="16">
        <f>362131.27-4424.6</f>
        <v>357706.67000000004</v>
      </c>
      <c r="D22" s="16">
        <f t="shared" si="0"/>
        <v>37692324.4</v>
      </c>
      <c r="E22" s="16">
        <v>3227357.83</v>
      </c>
      <c r="F22" s="17">
        <v>767</v>
      </c>
      <c r="G22" s="16">
        <f>E22/F22/30</f>
        <v>140.2589235115167</v>
      </c>
      <c r="I22" s="16">
        <v>1129575.26</v>
      </c>
      <c r="J22" s="16">
        <v>1323216.7</v>
      </c>
      <c r="K22" s="16">
        <v>322735.77</v>
      </c>
      <c r="L22" s="16">
        <v>322735.77</v>
      </c>
      <c r="M22" s="16">
        <v>129094.31</v>
      </c>
    </row>
    <row r="23" spans="1:13" ht="12.75">
      <c r="A23" s="3">
        <v>40878</v>
      </c>
      <c r="B23" s="16">
        <v>37579903.7</v>
      </c>
      <c r="C23" s="16">
        <f>320874.47-2571</f>
        <v>318303.47</v>
      </c>
      <c r="D23" s="16">
        <f t="shared" si="0"/>
        <v>34250441.03</v>
      </c>
      <c r="E23" s="16">
        <v>3011159.2</v>
      </c>
      <c r="F23" s="17">
        <v>767</v>
      </c>
      <c r="G23" s="16">
        <f>E23/F23/31</f>
        <v>126.64167893342307</v>
      </c>
      <c r="I23" s="16">
        <v>1053905.74</v>
      </c>
      <c r="J23" s="16">
        <v>1234575.27</v>
      </c>
      <c r="K23" s="16">
        <v>301115.96</v>
      </c>
      <c r="L23" s="16">
        <v>301115.96</v>
      </c>
      <c r="M23" s="16">
        <v>120446.36</v>
      </c>
    </row>
    <row r="24" spans="1:13" ht="12.75">
      <c r="A24" s="3">
        <v>40909</v>
      </c>
      <c r="B24" s="16">
        <v>37712710.25</v>
      </c>
      <c r="C24" s="16">
        <v>339785.24</v>
      </c>
      <c r="D24" s="16">
        <f t="shared" si="0"/>
        <v>34391731.93</v>
      </c>
      <c r="E24" s="16">
        <v>2981193.08</v>
      </c>
      <c r="F24" s="17">
        <v>767</v>
      </c>
      <c r="G24" s="16">
        <f>E24/F24/31</f>
        <v>125.38138032552467</v>
      </c>
      <c r="I24" s="16">
        <v>1043417.58</v>
      </c>
      <c r="J24" s="16">
        <v>1222289.18</v>
      </c>
      <c r="K24" s="16">
        <v>298119.31</v>
      </c>
      <c r="L24" s="16">
        <v>298119.3</v>
      </c>
      <c r="M24" s="16">
        <v>119247.72</v>
      </c>
    </row>
    <row r="25" spans="1:13" ht="12.75">
      <c r="A25" s="3">
        <v>40940</v>
      </c>
      <c r="B25" s="16">
        <v>41971344.04</v>
      </c>
      <c r="C25" s="16">
        <v>300522.51</v>
      </c>
      <c r="D25" s="16">
        <f t="shared" si="0"/>
        <v>38193672.04</v>
      </c>
      <c r="E25" s="16">
        <v>3477149.49</v>
      </c>
      <c r="F25" s="17">
        <v>767</v>
      </c>
      <c r="G25" s="16">
        <f>E25/F25/29</f>
        <v>156.32556264892327</v>
      </c>
      <c r="I25" s="16">
        <v>1217002.33</v>
      </c>
      <c r="J25" s="16">
        <v>1425631.28</v>
      </c>
      <c r="K25" s="16">
        <v>347714.96</v>
      </c>
      <c r="L25" s="16">
        <v>347714.96</v>
      </c>
      <c r="M25" s="16">
        <v>139085.98</v>
      </c>
    </row>
    <row r="26" spans="1:13" ht="12.75">
      <c r="A26" s="3">
        <v>40969</v>
      </c>
      <c r="B26" s="16">
        <v>45657577.15</v>
      </c>
      <c r="C26" s="16">
        <v>249810.88</v>
      </c>
      <c r="D26" s="16">
        <f t="shared" si="0"/>
        <v>41616100.79</v>
      </c>
      <c r="E26" s="16">
        <v>3791665.48</v>
      </c>
      <c r="F26" s="17">
        <v>767</v>
      </c>
      <c r="G26" s="16">
        <f>E26/F26/31</f>
        <v>159.46778315178534</v>
      </c>
      <c r="I26" s="16">
        <v>1327082.91</v>
      </c>
      <c r="J26" s="16">
        <v>1554582.85</v>
      </c>
      <c r="K26" s="16">
        <v>379166.55</v>
      </c>
      <c r="L26" s="16">
        <v>379166.55</v>
      </c>
      <c r="M26" s="16">
        <v>151666.63</v>
      </c>
    </row>
    <row r="27" spans="1:13" ht="13.5" thickBot="1">
      <c r="A27" s="3" t="s">
        <v>20</v>
      </c>
      <c r="B27" s="18">
        <f>SUM(B15:B26)</f>
        <v>540533731.36</v>
      </c>
      <c r="C27" s="18">
        <f>SUM(C15:C26)</f>
        <v>4186014.2699999996</v>
      </c>
      <c r="D27" s="18">
        <f>SUM(D15:D26)</f>
        <v>493074616.6100001</v>
      </c>
      <c r="E27" s="18">
        <f>SUM(E15:E26)</f>
        <v>43273100.48</v>
      </c>
      <c r="I27" s="18">
        <f>SUM(I15:I26)</f>
        <v>15145585.280000001</v>
      </c>
      <c r="J27" s="18">
        <f>SUM(J15:J26)</f>
        <v>17741971.259999998</v>
      </c>
      <c r="K27" s="18">
        <f>SUM(K15:K26)</f>
        <v>4327310.180000001</v>
      </c>
      <c r="L27" s="18">
        <f>SUM(L15:L26)</f>
        <v>4327303.16</v>
      </c>
      <c r="M27" s="18">
        <f>SUM(M15:M26)</f>
        <v>1730924.0100000002</v>
      </c>
    </row>
    <row r="28" spans="2:13" ht="10.5" customHeight="1" thickTop="1">
      <c r="B28" s="19"/>
      <c r="C28" s="19"/>
      <c r="D28" s="19"/>
      <c r="E28" s="19"/>
      <c r="I28" s="19"/>
      <c r="J28" s="19"/>
      <c r="K28" s="19"/>
      <c r="L28" s="19"/>
      <c r="M28" s="19"/>
    </row>
    <row r="29" spans="1:13" s="22" customFormat="1" ht="12.75">
      <c r="A29" s="20"/>
      <c r="B29" s="21"/>
      <c r="C29" s="21">
        <f>C27/B27</f>
        <v>0.007744223953365232</v>
      </c>
      <c r="D29" s="21">
        <f>D27/B27</f>
        <v>0.9121995316914057</v>
      </c>
      <c r="E29" s="21">
        <f>E27/B27</f>
        <v>0.08005624435522923</v>
      </c>
      <c r="I29" s="21">
        <f>I27/$E$27</f>
        <v>0.350000002588213</v>
      </c>
      <c r="J29" s="21">
        <f>J27/$E$27</f>
        <v>0.4100000014604916</v>
      </c>
      <c r="K29" s="21">
        <f>K27/$E$27</f>
        <v>0.10000000305039389</v>
      </c>
      <c r="L29" s="21">
        <f>L27/$E$27</f>
        <v>0.09999984082490224</v>
      </c>
      <c r="M29" s="21">
        <f>M27/$E$27</f>
        <v>0.0399999997873968</v>
      </c>
    </row>
    <row r="31" spans="1:13" s="23" customFormat="1" ht="12.75">
      <c r="A31" s="81" t="s">
        <v>21</v>
      </c>
      <c r="B31" s="82"/>
      <c r="C31" s="82"/>
      <c r="D31" s="82"/>
      <c r="E31" s="82"/>
      <c r="F31" s="82"/>
      <c r="G31" s="82"/>
      <c r="H31" s="82"/>
      <c r="I31" s="82"/>
      <c r="J31" s="82"/>
      <c r="K31" s="82"/>
      <c r="L31" s="82"/>
      <c r="M31" s="88"/>
    </row>
    <row r="32" ht="12.75">
      <c r="A32" s="24"/>
    </row>
    <row r="33" spans="1:12" s="45" customFormat="1" ht="12.75" customHeight="1">
      <c r="A33" s="41" t="s">
        <v>22</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79</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23</v>
      </c>
      <c r="B38" s="42"/>
      <c r="C38" s="43" t="s">
        <v>24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25</v>
      </c>
      <c r="B40" s="42"/>
      <c r="C40" s="42" t="s">
        <v>55</v>
      </c>
      <c r="E40" s="46"/>
      <c r="F40" s="47"/>
      <c r="G40" s="42"/>
      <c r="H40" s="42"/>
      <c r="I40" s="42"/>
      <c r="J40" s="42"/>
      <c r="K40" s="42"/>
      <c r="L40" s="42"/>
      <c r="M40" s="42"/>
    </row>
    <row r="41" spans="1:13" s="45" customFormat="1" ht="12.75">
      <c r="A41" s="41"/>
      <c r="B41" s="42"/>
      <c r="C41" s="42" t="s">
        <v>56</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28</v>
      </c>
      <c r="B43" s="42"/>
      <c r="C43" s="42" t="s">
        <v>29</v>
      </c>
      <c r="E43" s="46"/>
      <c r="F43" s="47"/>
      <c r="G43" s="42"/>
      <c r="H43" s="42"/>
      <c r="I43" s="42"/>
      <c r="J43" s="42"/>
      <c r="K43" s="42"/>
      <c r="L43" s="42"/>
      <c r="M43" s="42"/>
    </row>
    <row r="44" spans="1:13" s="45" customFormat="1" ht="6" customHeight="1">
      <c r="A44" s="41"/>
      <c r="B44" s="42"/>
      <c r="C44" s="42"/>
      <c r="D44" s="42"/>
      <c r="E44" s="46"/>
      <c r="F44" s="47"/>
      <c r="G44" s="42"/>
      <c r="H44" s="42"/>
      <c r="I44" s="42"/>
      <c r="J44" s="42"/>
      <c r="K44" s="42"/>
      <c r="L44" s="42"/>
      <c r="M44" s="42"/>
    </row>
    <row r="45" spans="1:12" s="45" customFormat="1" ht="12.75">
      <c r="A45" s="41" t="s">
        <v>68</v>
      </c>
      <c r="B45" s="42"/>
      <c r="C45" s="42" t="s">
        <v>69</v>
      </c>
      <c r="D45" s="46"/>
      <c r="E45" s="47"/>
      <c r="F45" s="42"/>
      <c r="G45" s="42"/>
      <c r="H45" s="42"/>
      <c r="I45" s="42"/>
      <c r="J45" s="42"/>
      <c r="K45" s="42"/>
      <c r="L45" s="42"/>
    </row>
    <row r="46" spans="1:12" s="45" customFormat="1" ht="12.75">
      <c r="A46" s="41"/>
      <c r="B46" s="42"/>
      <c r="C46" s="42" t="s">
        <v>76</v>
      </c>
      <c r="D46" s="46"/>
      <c r="E46" s="47"/>
      <c r="F46" s="42"/>
      <c r="G46" s="42"/>
      <c r="H46" s="42"/>
      <c r="I46" s="42"/>
      <c r="J46" s="42"/>
      <c r="K46" s="42"/>
      <c r="L46" s="42"/>
    </row>
    <row r="47" spans="1:12" s="45" customFormat="1" ht="12.75">
      <c r="A47" s="41"/>
      <c r="B47" s="42"/>
      <c r="C47" s="42" t="s">
        <v>77</v>
      </c>
      <c r="D47" s="46"/>
      <c r="E47" s="47"/>
      <c r="F47" s="42"/>
      <c r="G47" s="42"/>
      <c r="H47" s="42"/>
      <c r="I47" s="42"/>
      <c r="J47" s="42"/>
      <c r="K47" s="42"/>
      <c r="L47" s="42"/>
    </row>
    <row r="48" spans="1:13" s="45" customFormat="1" ht="6" customHeight="1">
      <c r="A48" s="41"/>
      <c r="B48" s="42"/>
      <c r="C48" s="42"/>
      <c r="D48" s="42"/>
      <c r="E48" s="46"/>
      <c r="F48" s="47"/>
      <c r="G48" s="42"/>
      <c r="H48" s="42"/>
      <c r="I48" s="42"/>
      <c r="J48" s="42"/>
      <c r="K48" s="42"/>
      <c r="L48" s="42"/>
      <c r="M48" s="42"/>
    </row>
    <row r="49" spans="1:12" s="45" customFormat="1" ht="12.75">
      <c r="A49" s="41" t="s">
        <v>30</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3" s="45" customFormat="1" ht="6" customHeight="1">
      <c r="A51" s="41"/>
      <c r="B51" s="42"/>
      <c r="C51" s="42"/>
      <c r="D51" s="42"/>
      <c r="E51" s="46"/>
      <c r="F51" s="47"/>
      <c r="G51" s="42"/>
      <c r="H51" s="42"/>
      <c r="I51" s="42"/>
      <c r="J51" s="42"/>
      <c r="K51" s="42"/>
      <c r="L51" s="42"/>
      <c r="M51" s="42"/>
    </row>
    <row r="52" spans="1:12" s="45" customFormat="1" ht="12.75">
      <c r="A52" s="41" t="s">
        <v>78</v>
      </c>
      <c r="B52" s="42"/>
      <c r="C52" s="42" t="s">
        <v>71</v>
      </c>
      <c r="D52" s="46"/>
      <c r="E52" s="47"/>
      <c r="F52" s="42"/>
      <c r="G52" s="42"/>
      <c r="H52" s="42"/>
      <c r="I52" s="42"/>
      <c r="J52" s="42"/>
      <c r="K52" s="42"/>
      <c r="L52" s="42"/>
    </row>
    <row r="53" spans="1:12" s="45" customFormat="1" ht="12.75">
      <c r="A53" s="48"/>
      <c r="B53" s="42"/>
      <c r="C53" s="42" t="s">
        <v>72</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47</v>
      </c>
      <c r="B55" s="42"/>
      <c r="C55" s="42" t="s">
        <v>57</v>
      </c>
      <c r="E55" s="46"/>
      <c r="F55" s="47"/>
      <c r="G55" s="42"/>
      <c r="H55" s="42"/>
      <c r="I55" s="42"/>
      <c r="J55" s="42"/>
      <c r="K55" s="42"/>
      <c r="L55" s="42"/>
      <c r="M55" s="46"/>
    </row>
    <row r="56" spans="1:13" s="45" customFormat="1" ht="12.75">
      <c r="A56" s="48"/>
      <c r="B56" s="42"/>
      <c r="C56" s="42" t="s">
        <v>58</v>
      </c>
      <c r="E56" s="46"/>
      <c r="F56" s="47"/>
      <c r="G56" s="42"/>
      <c r="H56" s="42"/>
      <c r="I56" s="42"/>
      <c r="J56" s="42"/>
      <c r="K56" s="42"/>
      <c r="L56" s="42"/>
      <c r="M56" s="46"/>
    </row>
    <row r="57" spans="1:13" s="45" customFormat="1" ht="12.75">
      <c r="A57" s="48"/>
      <c r="B57" s="42"/>
      <c r="C57" s="42" t="s">
        <v>59</v>
      </c>
      <c r="E57" s="46"/>
      <c r="F57" s="47"/>
      <c r="G57" s="42"/>
      <c r="H57" s="42"/>
      <c r="I57" s="42"/>
      <c r="J57" s="42"/>
      <c r="K57" s="42"/>
      <c r="L57" s="42"/>
      <c r="M57" s="46"/>
    </row>
    <row r="58" spans="1:12" ht="12.75">
      <c r="A58" s="28"/>
      <c r="B58" s="26"/>
      <c r="C58" s="26"/>
      <c r="D58" s="26"/>
      <c r="F58" s="27"/>
      <c r="G58" s="26"/>
      <c r="H58" s="26"/>
      <c r="I58" s="26"/>
      <c r="J58" s="26"/>
      <c r="K58" s="26"/>
      <c r="L58" s="26"/>
    </row>
    <row r="59" spans="1:13" ht="12.75">
      <c r="A59" s="81" t="s">
        <v>31</v>
      </c>
      <c r="B59" s="82"/>
      <c r="C59" s="82"/>
      <c r="D59" s="82"/>
      <c r="E59" s="82"/>
      <c r="F59" s="82"/>
      <c r="G59" s="82"/>
      <c r="H59" s="82"/>
      <c r="I59" s="82"/>
      <c r="J59" s="82"/>
      <c r="K59" s="82"/>
      <c r="L59" s="82"/>
      <c r="M59" s="88"/>
    </row>
    <row r="60" ht="12.75">
      <c r="A60" s="24"/>
    </row>
    <row r="61" spans="1:13" ht="13.5">
      <c r="A61" s="32"/>
      <c r="E61" s="10" t="s">
        <v>9</v>
      </c>
      <c r="F61" s="83" t="s">
        <v>83</v>
      </c>
      <c r="G61" s="83"/>
      <c r="H61" s="83"/>
      <c r="I61" s="83"/>
      <c r="J61" s="10" t="s">
        <v>10</v>
      </c>
      <c r="K61" s="53" t="s">
        <v>74</v>
      </c>
      <c r="L61" s="10" t="s">
        <v>45</v>
      </c>
      <c r="M61" s="34"/>
    </row>
    <row r="62" spans="1:13" ht="12.75">
      <c r="A62" s="35"/>
      <c r="E62" s="8" t="s">
        <v>17</v>
      </c>
      <c r="F62" s="8" t="s">
        <v>80</v>
      </c>
      <c r="G62" s="57" t="s">
        <v>81</v>
      </c>
      <c r="H62" s="36"/>
      <c r="I62" s="8" t="s">
        <v>82</v>
      </c>
      <c r="J62" s="8" t="s">
        <v>19</v>
      </c>
      <c r="K62" s="54" t="s">
        <v>75</v>
      </c>
      <c r="L62" s="8" t="s">
        <v>46</v>
      </c>
      <c r="M62" s="34"/>
    </row>
    <row r="63" spans="2:13" ht="12.75">
      <c r="B63" s="37" t="s">
        <v>50</v>
      </c>
      <c r="C63" s="37"/>
      <c r="D63" s="37"/>
      <c r="E63" s="55">
        <v>0.35</v>
      </c>
      <c r="F63" s="55">
        <v>0.31</v>
      </c>
      <c r="G63" s="58">
        <v>0.0875</v>
      </c>
      <c r="H63" s="56"/>
      <c r="I63" s="55">
        <v>0.0125</v>
      </c>
      <c r="J63" s="55">
        <v>0.1</v>
      </c>
      <c r="K63" s="55">
        <v>0.1</v>
      </c>
      <c r="L63" s="55">
        <v>0.04</v>
      </c>
      <c r="M63" s="39"/>
    </row>
    <row r="64" spans="2:13" ht="12.75">
      <c r="B64" s="37" t="s">
        <v>51</v>
      </c>
      <c r="C64" s="37"/>
      <c r="D64" s="37"/>
      <c r="E64" s="55">
        <v>0.39</v>
      </c>
      <c r="F64" s="55">
        <v>0.31</v>
      </c>
      <c r="G64" s="58">
        <v>0.0875</v>
      </c>
      <c r="H64" s="56"/>
      <c r="I64" s="55">
        <v>0.0125</v>
      </c>
      <c r="J64" s="55">
        <v>0.1</v>
      </c>
      <c r="K64" s="55">
        <v>0.1</v>
      </c>
      <c r="L64" s="55">
        <v>0</v>
      </c>
      <c r="M64" s="39"/>
    </row>
    <row r="65" spans="1:13" s="23" customFormat="1" ht="12.75">
      <c r="A65" s="3"/>
      <c r="B65" s="37" t="s">
        <v>48</v>
      </c>
      <c r="C65" s="37"/>
      <c r="D65" s="37"/>
      <c r="E65" s="55">
        <v>0.41</v>
      </c>
      <c r="F65" s="55">
        <v>0.31</v>
      </c>
      <c r="G65" s="58">
        <v>0.0875</v>
      </c>
      <c r="H65" s="56"/>
      <c r="I65" s="55">
        <v>0.0125</v>
      </c>
      <c r="J65" s="55">
        <v>0.08</v>
      </c>
      <c r="K65" s="55">
        <v>0.1</v>
      </c>
      <c r="L65" s="55">
        <v>0</v>
      </c>
      <c r="M65" s="39"/>
    </row>
    <row r="66" spans="1:13" s="23" customFormat="1" ht="12.75">
      <c r="A66" s="3"/>
      <c r="B66" s="37"/>
      <c r="C66" s="37"/>
      <c r="D66" s="37"/>
      <c r="E66" s="26"/>
      <c r="F66" s="27"/>
      <c r="G66" s="38"/>
      <c r="H66" s="26"/>
      <c r="I66" s="38"/>
      <c r="J66" s="38"/>
      <c r="K66" s="38"/>
      <c r="L66" s="38"/>
      <c r="M66" s="39"/>
    </row>
    <row r="67" spans="1:13" ht="12.75">
      <c r="A67" s="84" t="s">
        <v>39</v>
      </c>
      <c r="B67" s="85"/>
      <c r="C67" s="85"/>
      <c r="D67" s="85"/>
      <c r="E67" s="85"/>
      <c r="F67" s="85"/>
      <c r="G67" s="85"/>
      <c r="H67" s="85"/>
      <c r="I67" s="85"/>
      <c r="J67" s="85"/>
      <c r="K67" s="85"/>
      <c r="L67" s="85"/>
      <c r="M67" s="89"/>
    </row>
    <row r="68" spans="1:6" ht="9.75" customHeight="1">
      <c r="A68" s="24"/>
      <c r="E68"/>
      <c r="F68" s="16"/>
    </row>
    <row r="69" spans="1:13" ht="54" customHeight="1">
      <c r="A69" s="86" t="s">
        <v>85</v>
      </c>
      <c r="B69" s="87"/>
      <c r="C69" s="87"/>
      <c r="D69" s="87"/>
      <c r="E69" s="87"/>
      <c r="F69" s="87"/>
      <c r="G69" s="87"/>
      <c r="H69" s="87"/>
      <c r="I69" s="87"/>
      <c r="J69" s="87"/>
      <c r="K69" s="87"/>
      <c r="L69" s="87"/>
      <c r="M69" s="87"/>
    </row>
    <row r="70" spans="1:6" ht="12.75">
      <c r="A70" s="16"/>
      <c r="E70"/>
      <c r="F70" s="16"/>
    </row>
    <row r="71" spans="2:5" ht="12.75">
      <c r="B71" s="24" t="s">
        <v>40</v>
      </c>
      <c r="C71" s="24"/>
      <c r="D71" s="24"/>
      <c r="E71" s="16">
        <v>89000</v>
      </c>
    </row>
    <row r="72" spans="2:5" ht="12.75">
      <c r="B72" s="24" t="s">
        <v>41</v>
      </c>
      <c r="C72" s="24"/>
      <c r="D72" s="24"/>
      <c r="E72" s="16">
        <v>150000</v>
      </c>
    </row>
    <row r="73" spans="2:5" ht="12.75">
      <c r="B73" s="16" t="s">
        <v>42</v>
      </c>
      <c r="E73" s="16">
        <v>166000</v>
      </c>
    </row>
    <row r="74" ht="7.5" customHeight="1">
      <c r="E74" s="16" t="s">
        <v>36</v>
      </c>
    </row>
    <row r="76" ht="12.75">
      <c r="A76" s="24" t="s">
        <v>37</v>
      </c>
    </row>
  </sheetData>
  <sheetProtection/>
  <mergeCells count="12">
    <mergeCell ref="A69:M69"/>
    <mergeCell ref="A31:M31"/>
    <mergeCell ref="A59:M59"/>
    <mergeCell ref="I10:M10"/>
    <mergeCell ref="A8:M8"/>
    <mergeCell ref="F61:I61"/>
    <mergeCell ref="A1:M1"/>
    <mergeCell ref="A2:M2"/>
    <mergeCell ref="A3:M3"/>
    <mergeCell ref="A5:M5"/>
    <mergeCell ref="A4:M4"/>
    <mergeCell ref="A67:M67"/>
  </mergeCells>
  <hyperlinks>
    <hyperlink ref="A4" r:id="rId1" display="www.vernondowns.com"/>
  </hyperlinks>
  <printOptions horizontalCentered="1"/>
  <pageMargins left="0.25" right="0.25" top="0.75" bottom="0.5" header="0.5" footer="0.5"/>
  <pageSetup fitToHeight="1" fitToWidth="1" horizontalDpi="600" verticalDpi="600" orientation="portrait" scale="71" r:id="rId3"/>
  <drawing r:id="rId2"/>
</worksheet>
</file>

<file path=xl/worksheets/sheet14.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selection activeCell="A28" sqref="A28"/>
    </sheetView>
  </sheetViews>
  <sheetFormatPr defaultColWidth="9.140625" defaultRowHeight="12.75"/>
  <cols>
    <col min="1" max="1" width="9.28125" style="3" customWidth="1"/>
    <col min="2" max="3" width="14.140625" style="16" customWidth="1"/>
    <col min="4" max="4" width="12.7109375" style="16" customWidth="1"/>
    <col min="5" max="5" width="8.57421875" style="17" customWidth="1"/>
    <col min="6" max="6" width="9.57421875" style="16" customWidth="1"/>
    <col min="7" max="7" width="1.421875" style="16" customWidth="1"/>
    <col min="8" max="12" width="13.7109375" style="16" customWidth="1"/>
    <col min="13" max="13" width="12.7109375" style="0" customWidth="1"/>
  </cols>
  <sheetData>
    <row r="1" spans="1:12" ht="18">
      <c r="A1" s="77" t="s">
        <v>52</v>
      </c>
      <c r="B1" s="77"/>
      <c r="C1" s="77"/>
      <c r="D1" s="77"/>
      <c r="E1" s="77"/>
      <c r="F1" s="77"/>
      <c r="G1" s="77"/>
      <c r="H1" s="77"/>
      <c r="I1" s="77"/>
      <c r="J1" s="77"/>
      <c r="K1" s="77"/>
      <c r="L1" s="77"/>
    </row>
    <row r="2" spans="1:12" ht="15">
      <c r="A2" s="78" t="s">
        <v>0</v>
      </c>
      <c r="B2" s="78"/>
      <c r="C2" s="78"/>
      <c r="D2" s="78"/>
      <c r="E2" s="78"/>
      <c r="F2" s="78"/>
      <c r="G2" s="78"/>
      <c r="H2" s="78"/>
      <c r="I2" s="78"/>
      <c r="J2" s="78"/>
      <c r="K2" s="78"/>
      <c r="L2" s="78"/>
    </row>
    <row r="3" spans="1:12" s="1" customFormat="1" ht="15">
      <c r="A3" s="78" t="s">
        <v>1</v>
      </c>
      <c r="B3" s="78"/>
      <c r="C3" s="78"/>
      <c r="D3" s="78"/>
      <c r="E3" s="78"/>
      <c r="F3" s="78"/>
      <c r="G3" s="78"/>
      <c r="H3" s="78"/>
      <c r="I3" s="78"/>
      <c r="J3" s="78"/>
      <c r="K3" s="78"/>
      <c r="L3" s="78"/>
    </row>
    <row r="4" spans="1:12" s="1" customFormat="1" ht="14.25" customHeight="1">
      <c r="A4" s="79" t="s">
        <v>2</v>
      </c>
      <c r="B4" s="79"/>
      <c r="C4" s="79"/>
      <c r="D4" s="79"/>
      <c r="E4" s="79"/>
      <c r="F4" s="79"/>
      <c r="G4" s="79"/>
      <c r="H4" s="79"/>
      <c r="I4" s="79"/>
      <c r="J4" s="79"/>
      <c r="K4" s="79"/>
      <c r="L4" s="79"/>
    </row>
    <row r="5" spans="1:12" s="1" customFormat="1" ht="14.25">
      <c r="A5" s="80" t="s">
        <v>3</v>
      </c>
      <c r="B5" s="80"/>
      <c r="C5" s="80"/>
      <c r="D5" s="80"/>
      <c r="E5" s="80"/>
      <c r="F5" s="80"/>
      <c r="G5" s="80"/>
      <c r="H5" s="80"/>
      <c r="I5" s="80"/>
      <c r="J5" s="80"/>
      <c r="K5" s="80"/>
      <c r="L5" s="80"/>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81" t="s">
        <v>60</v>
      </c>
      <c r="B8" s="82"/>
      <c r="C8" s="82"/>
      <c r="D8" s="82"/>
      <c r="E8" s="82"/>
      <c r="F8" s="82"/>
      <c r="G8" s="82"/>
      <c r="H8" s="82"/>
      <c r="I8" s="82"/>
      <c r="J8" s="82"/>
      <c r="K8" s="82"/>
      <c r="L8" s="88"/>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83" t="s">
        <v>5</v>
      </c>
      <c r="I10" s="83"/>
      <c r="J10" s="83"/>
      <c r="K10" s="83"/>
      <c r="L10" s="83"/>
    </row>
    <row r="11" spans="1:12" s="1" customFormat="1" ht="12.75">
      <c r="A11" s="3"/>
      <c r="B11" s="5"/>
      <c r="C11" s="5"/>
      <c r="D11" s="5"/>
      <c r="E11" s="6"/>
      <c r="F11" s="5"/>
      <c r="G11" s="5"/>
      <c r="H11" s="5"/>
      <c r="I11" s="5"/>
      <c r="J11" s="5"/>
      <c r="K11" s="5"/>
      <c r="L11" s="5"/>
    </row>
    <row r="12" spans="1:12" s="12" customFormat="1" ht="12">
      <c r="A12" s="9"/>
      <c r="B12" s="10" t="s">
        <v>6</v>
      </c>
      <c r="C12" s="10" t="s">
        <v>6</v>
      </c>
      <c r="D12" s="10"/>
      <c r="E12" s="11" t="s">
        <v>7</v>
      </c>
      <c r="F12" s="10" t="s">
        <v>8</v>
      </c>
      <c r="G12" s="10"/>
      <c r="H12" s="10" t="s">
        <v>9</v>
      </c>
      <c r="I12" s="10" t="s">
        <v>73</v>
      </c>
      <c r="J12" s="10" t="s">
        <v>10</v>
      </c>
      <c r="K12" s="10" t="s">
        <v>74</v>
      </c>
      <c r="L12" s="10" t="s">
        <v>45</v>
      </c>
    </row>
    <row r="13" spans="1:12" s="12" customFormat="1" ht="12">
      <c r="A13" s="13" t="s">
        <v>11</v>
      </c>
      <c r="B13" s="8" t="s">
        <v>12</v>
      </c>
      <c r="C13" s="8" t="s">
        <v>13</v>
      </c>
      <c r="D13" s="8" t="s">
        <v>14</v>
      </c>
      <c r="E13" s="14" t="s">
        <v>15</v>
      </c>
      <c r="F13" s="8" t="s">
        <v>16</v>
      </c>
      <c r="G13" s="15"/>
      <c r="H13" s="8" t="s">
        <v>17</v>
      </c>
      <c r="I13" s="8" t="s">
        <v>18</v>
      </c>
      <c r="J13" s="8" t="s">
        <v>19</v>
      </c>
      <c r="K13" s="8" t="s">
        <v>75</v>
      </c>
      <c r="L13" s="8" t="s">
        <v>46</v>
      </c>
    </row>
    <row r="15" spans="1:12" ht="12.75">
      <c r="A15" s="3">
        <v>40269</v>
      </c>
      <c r="B15" s="16">
        <v>38970386.93</v>
      </c>
      <c r="C15" s="16">
        <f aca="true" t="shared" si="0" ref="C15:C26">+B15-D15</f>
        <v>35355586.16</v>
      </c>
      <c r="D15" s="16">
        <v>3614800.77</v>
      </c>
      <c r="E15" s="17">
        <v>761</v>
      </c>
      <c r="F15" s="16">
        <f>D15/E15/30</f>
        <v>158.33555716162942</v>
      </c>
      <c r="H15" s="16">
        <v>1229032.26</v>
      </c>
      <c r="I15" s="16">
        <v>1518216.33</v>
      </c>
      <c r="J15" s="16">
        <v>361480.09</v>
      </c>
      <c r="K15" s="16">
        <v>361480.09</v>
      </c>
      <c r="L15" s="16">
        <v>144592.04</v>
      </c>
    </row>
    <row r="16" spans="1:12" ht="12.75">
      <c r="A16" s="3">
        <v>40299</v>
      </c>
      <c r="B16" s="16">
        <v>40038985.45</v>
      </c>
      <c r="C16" s="16">
        <f t="shared" si="0"/>
        <v>36365580.79000001</v>
      </c>
      <c r="D16" s="16">
        <v>3673404.66</v>
      </c>
      <c r="E16" s="17">
        <v>761</v>
      </c>
      <c r="F16" s="16">
        <f>D16/E16/31</f>
        <v>155.71212157178587</v>
      </c>
      <c r="H16" s="16">
        <v>1248957.56</v>
      </c>
      <c r="I16" s="16">
        <v>1542829.99</v>
      </c>
      <c r="J16" s="16">
        <v>367340.5</v>
      </c>
      <c r="K16" s="16">
        <v>367340.5</v>
      </c>
      <c r="L16" s="16">
        <v>146936.2</v>
      </c>
    </row>
    <row r="17" spans="1:12" ht="12.75">
      <c r="A17" s="3">
        <v>40330</v>
      </c>
      <c r="B17" s="16">
        <v>37974963.38</v>
      </c>
      <c r="C17" s="16">
        <f t="shared" si="0"/>
        <v>34528139.830000006</v>
      </c>
      <c r="D17" s="16">
        <v>3446823.55</v>
      </c>
      <c r="E17" s="17">
        <v>761</v>
      </c>
      <c r="F17" s="16">
        <f>D17/E17/30</f>
        <v>150.97781646955758</v>
      </c>
      <c r="H17" s="16">
        <v>1171920.02</v>
      </c>
      <c r="I17" s="16">
        <v>1447665.89</v>
      </c>
      <c r="J17" s="16">
        <v>344682.38</v>
      </c>
      <c r="K17" s="16">
        <v>344682.38</v>
      </c>
      <c r="L17" s="16">
        <v>137872.94</v>
      </c>
    </row>
    <row r="18" spans="1:12" ht="12.75">
      <c r="A18" s="3">
        <v>40360</v>
      </c>
      <c r="B18" s="16">
        <v>45331935.25</v>
      </c>
      <c r="C18" s="16">
        <f t="shared" si="0"/>
        <v>41189016.853</v>
      </c>
      <c r="D18" s="16">
        <v>4142918.397</v>
      </c>
      <c r="E18" s="17">
        <v>761</v>
      </c>
      <c r="F18" s="16">
        <f>D18/E18/31</f>
        <v>175.61436128184477</v>
      </c>
      <c r="H18" s="16">
        <v>1408592.48</v>
      </c>
      <c r="I18" s="16">
        <v>1740025.97</v>
      </c>
      <c r="J18" s="16">
        <v>414291.91</v>
      </c>
      <c r="K18" s="16">
        <v>414291.91</v>
      </c>
      <c r="L18" s="16">
        <v>165716.75</v>
      </c>
    </row>
    <row r="19" spans="1:12" ht="12.75">
      <c r="A19" s="3">
        <v>40391</v>
      </c>
      <c r="B19" s="16">
        <v>42789500.89</v>
      </c>
      <c r="C19" s="16">
        <f t="shared" si="0"/>
        <v>38953788</v>
      </c>
      <c r="D19" s="16">
        <v>3835712.89</v>
      </c>
      <c r="E19" s="17">
        <v>761</v>
      </c>
      <c r="F19" s="16">
        <f>D19/E19/31</f>
        <v>162.5922127082362</v>
      </c>
      <c r="H19" s="16">
        <v>1330502.12</v>
      </c>
      <c r="I19" s="16">
        <v>1584639.66</v>
      </c>
      <c r="J19" s="16">
        <v>383571.3</v>
      </c>
      <c r="K19" s="16">
        <v>383571.3</v>
      </c>
      <c r="L19" s="16">
        <v>153428.51</v>
      </c>
    </row>
    <row r="20" spans="1:12" ht="12.75">
      <c r="A20" s="3">
        <v>40422</v>
      </c>
      <c r="B20" s="16">
        <v>40952346.44</v>
      </c>
      <c r="C20" s="16">
        <f t="shared" si="0"/>
        <v>37243161.44</v>
      </c>
      <c r="D20" s="16">
        <v>3709185</v>
      </c>
      <c r="E20" s="17">
        <v>761</v>
      </c>
      <c r="F20" s="16">
        <f>D20/E20/30</f>
        <v>162.46977660972405</v>
      </c>
      <c r="H20" s="16">
        <v>1298214.76</v>
      </c>
      <c r="I20" s="16">
        <v>1520765.82</v>
      </c>
      <c r="J20" s="16">
        <v>370918.51</v>
      </c>
      <c r="K20" s="16">
        <v>370918.51</v>
      </c>
      <c r="L20" s="16">
        <v>148367.38</v>
      </c>
    </row>
    <row r="21" spans="1:12" ht="12.75">
      <c r="A21" s="3">
        <v>40452</v>
      </c>
      <c r="B21" s="16">
        <v>41509941.24</v>
      </c>
      <c r="C21" s="16">
        <f t="shared" si="0"/>
        <v>37832092.010000005</v>
      </c>
      <c r="D21" s="16">
        <v>3677849.23</v>
      </c>
      <c r="E21" s="17">
        <v>761</v>
      </c>
      <c r="F21" s="16">
        <f>D21/E21/31</f>
        <v>155.90052265694544</v>
      </c>
      <c r="H21" s="16">
        <v>1287247.24</v>
      </c>
      <c r="I21" s="16">
        <v>1507918.17</v>
      </c>
      <c r="J21" s="16">
        <v>367784.94</v>
      </c>
      <c r="K21" s="16">
        <v>367784.94</v>
      </c>
      <c r="L21" s="16">
        <v>147113.96</v>
      </c>
    </row>
    <row r="22" spans="1:12" ht="12.75">
      <c r="A22" s="3">
        <v>40483</v>
      </c>
      <c r="B22" s="16">
        <v>35773317.08</v>
      </c>
      <c r="C22" s="16">
        <f t="shared" si="0"/>
        <v>32584607.029999997</v>
      </c>
      <c r="D22" s="16">
        <v>3188710.05</v>
      </c>
      <c r="E22" s="17">
        <v>761</v>
      </c>
      <c r="F22" s="16">
        <f>D22/E22/30</f>
        <v>139.6719250985545</v>
      </c>
      <c r="H22" s="16">
        <v>1116048.53</v>
      </c>
      <c r="I22" s="16">
        <v>1307371.14</v>
      </c>
      <c r="J22" s="16">
        <v>318871.06</v>
      </c>
      <c r="K22" s="16">
        <v>318871.06</v>
      </c>
      <c r="L22" s="16">
        <v>127548.41</v>
      </c>
    </row>
    <row r="23" spans="1:12" ht="12.75">
      <c r="A23" s="3">
        <v>40513</v>
      </c>
      <c r="B23" s="16">
        <v>29047441.65</v>
      </c>
      <c r="C23" s="16">
        <f t="shared" si="0"/>
        <v>26467297.97</v>
      </c>
      <c r="D23" s="16">
        <v>2580143.68</v>
      </c>
      <c r="E23" s="17">
        <v>761</v>
      </c>
      <c r="F23" s="16">
        <f>D23/E23/31</f>
        <v>109.3698308677038</v>
      </c>
      <c r="H23" s="16">
        <v>903050.31</v>
      </c>
      <c r="I23" s="16">
        <v>1057858.92</v>
      </c>
      <c r="J23" s="16">
        <v>258014.38</v>
      </c>
      <c r="K23" s="16">
        <v>258014.38</v>
      </c>
      <c r="L23" s="16">
        <v>103205.75</v>
      </c>
    </row>
    <row r="24" spans="1:12" ht="12.75">
      <c r="A24" s="3">
        <v>40544</v>
      </c>
      <c r="B24" s="16">
        <v>30564241.04</v>
      </c>
      <c r="C24" s="16">
        <f t="shared" si="0"/>
        <v>27812789.89</v>
      </c>
      <c r="D24" s="16">
        <v>2751451.15</v>
      </c>
      <c r="E24" s="17">
        <v>761</v>
      </c>
      <c r="F24" s="16">
        <f>D24/E24/31</f>
        <v>116.63139120851172</v>
      </c>
      <c r="H24" s="16">
        <v>963007.87</v>
      </c>
      <c r="I24" s="16">
        <v>1128094.94</v>
      </c>
      <c r="J24" s="16">
        <v>275145.16</v>
      </c>
      <c r="K24" s="16">
        <v>275145.16</v>
      </c>
      <c r="L24" s="16">
        <v>110058.05</v>
      </c>
    </row>
    <row r="25" spans="1:12" ht="12.75">
      <c r="A25" s="3">
        <v>40575</v>
      </c>
      <c r="B25" s="16">
        <v>33057717.82</v>
      </c>
      <c r="C25" s="16">
        <f t="shared" si="0"/>
        <v>30087643.41</v>
      </c>
      <c r="D25" s="16">
        <v>2970074.41</v>
      </c>
      <c r="E25" s="17">
        <v>761</v>
      </c>
      <c r="F25" s="16">
        <f>D25/E25/28</f>
        <v>139.38776093486015</v>
      </c>
      <c r="H25" s="16">
        <v>1039526.04</v>
      </c>
      <c r="I25" s="16">
        <v>1217730.52</v>
      </c>
      <c r="J25" s="16">
        <v>297007.44</v>
      </c>
      <c r="K25" s="16">
        <v>297007.44</v>
      </c>
      <c r="L25" s="16">
        <v>118802.96</v>
      </c>
    </row>
    <row r="26" spans="1:12" ht="12.75">
      <c r="A26" s="3">
        <v>40603</v>
      </c>
      <c r="B26" s="16">
        <v>40860202.8</v>
      </c>
      <c r="C26" s="16">
        <f t="shared" si="0"/>
        <v>37267501.449999996</v>
      </c>
      <c r="D26" s="16">
        <v>3592701.35</v>
      </c>
      <c r="E26" s="17">
        <v>761</v>
      </c>
      <c r="F26" s="16">
        <f>D26/E26/31</f>
        <v>152.2911851977449</v>
      </c>
      <c r="H26" s="16">
        <v>1257445.48</v>
      </c>
      <c r="I26" s="16">
        <v>1473007.55</v>
      </c>
      <c r="J26" s="16">
        <v>359270.16</v>
      </c>
      <c r="K26" s="16">
        <v>359270.16</v>
      </c>
      <c r="L26" s="16">
        <v>143708.05</v>
      </c>
    </row>
    <row r="27" spans="1:12" ht="13.5" thickBot="1">
      <c r="A27" s="3" t="s">
        <v>20</v>
      </c>
      <c r="B27" s="18">
        <f>SUM(B15:B26)</f>
        <v>456870979.96999997</v>
      </c>
      <c r="C27" s="18">
        <f>SUM(C15:C26)</f>
        <v>415687204.83299994</v>
      </c>
      <c r="D27" s="18">
        <f>SUM(D15:D26)</f>
        <v>41183775.137</v>
      </c>
      <c r="H27" s="18">
        <f>SUM(H15:H26)</f>
        <v>14253544.669999998</v>
      </c>
      <c r="I27" s="18">
        <f>SUM(I15:I26)</f>
        <v>17046124.9</v>
      </c>
      <c r="J27" s="18">
        <f>SUM(J15:J26)</f>
        <v>4118377.8300000005</v>
      </c>
      <c r="K27" s="18">
        <f>SUM(K15:K26)</f>
        <v>4118377.8300000005</v>
      </c>
      <c r="L27" s="18">
        <f>SUM(L15:L26)</f>
        <v>1647351</v>
      </c>
    </row>
    <row r="28" spans="2:12" ht="10.5" customHeight="1" thickTop="1">
      <c r="B28" s="19"/>
      <c r="C28" s="19"/>
      <c r="D28" s="19"/>
      <c r="H28" s="19"/>
      <c r="I28" s="19"/>
      <c r="J28" s="19"/>
      <c r="K28" s="19"/>
      <c r="L28" s="19"/>
    </row>
    <row r="29" spans="1:12" s="22" customFormat="1" ht="12.75">
      <c r="A29" s="20"/>
      <c r="B29" s="21"/>
      <c r="C29" s="21">
        <f>C27/B27</f>
        <v>0.9098568809520265</v>
      </c>
      <c r="D29" s="21">
        <f>D27/B27</f>
        <v>0.09014311904797345</v>
      </c>
      <c r="H29" s="21">
        <f>H27/$D$27</f>
        <v>0.34609611728368345</v>
      </c>
      <c r="I29" s="21">
        <f>I27/$D$27</f>
        <v>0.4139038940285383</v>
      </c>
      <c r="J29" s="21">
        <f>J27/$D$27</f>
        <v>0.100000007680209</v>
      </c>
      <c r="K29" s="21">
        <f>K27/$D$27</f>
        <v>0.100000007680209</v>
      </c>
      <c r="L29" s="21">
        <f>L27/$D$27</f>
        <v>0.03999999986693789</v>
      </c>
    </row>
    <row r="31" spans="1:12" s="23" customFormat="1" ht="12.75">
      <c r="A31" s="81" t="s">
        <v>21</v>
      </c>
      <c r="B31" s="82"/>
      <c r="C31" s="82"/>
      <c r="D31" s="82"/>
      <c r="E31" s="82"/>
      <c r="F31" s="82"/>
      <c r="G31" s="82"/>
      <c r="H31" s="82"/>
      <c r="I31" s="82"/>
      <c r="J31" s="82"/>
      <c r="K31" s="82"/>
      <c r="L31" s="88"/>
    </row>
    <row r="32" ht="12.75">
      <c r="A32" s="24"/>
    </row>
    <row r="33" spans="1:12" s="45" customFormat="1" ht="12.75" customHeight="1">
      <c r="A33" s="41" t="s">
        <v>22</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2" s="45" customFormat="1" ht="6" customHeight="1">
      <c r="A35" s="41"/>
      <c r="B35" s="42"/>
      <c r="C35" s="43"/>
      <c r="D35" s="46"/>
      <c r="E35" s="43"/>
      <c r="F35" s="43"/>
      <c r="G35" s="43"/>
      <c r="H35" s="43"/>
      <c r="I35" s="42"/>
      <c r="J35" s="42"/>
      <c r="K35" s="42"/>
      <c r="L35" s="42"/>
    </row>
    <row r="36" spans="1:12" s="45" customFormat="1" ht="12.75">
      <c r="A36" s="41" t="s">
        <v>23</v>
      </c>
      <c r="B36" s="42"/>
      <c r="C36" s="43" t="s">
        <v>24</v>
      </c>
      <c r="D36" s="46"/>
      <c r="E36" s="43"/>
      <c r="F36" s="43"/>
      <c r="G36" s="43"/>
      <c r="H36" s="43"/>
      <c r="I36" s="42"/>
      <c r="J36" s="42"/>
      <c r="K36" s="42"/>
      <c r="L36" s="42"/>
    </row>
    <row r="37" spans="1:12" s="45" customFormat="1" ht="6" customHeight="1">
      <c r="A37" s="41"/>
      <c r="B37" s="42"/>
      <c r="C37" s="43"/>
      <c r="D37" s="46"/>
      <c r="E37" s="43"/>
      <c r="F37" s="43"/>
      <c r="G37" s="43"/>
      <c r="H37" s="43"/>
      <c r="I37" s="42"/>
      <c r="J37" s="42"/>
      <c r="K37" s="42"/>
      <c r="L37" s="42"/>
    </row>
    <row r="38" spans="1:12" s="45" customFormat="1" ht="12.75">
      <c r="A38" s="41" t="s">
        <v>25</v>
      </c>
      <c r="B38" s="42"/>
      <c r="C38" s="42" t="s">
        <v>55</v>
      </c>
      <c r="D38" s="46"/>
      <c r="E38" s="47"/>
      <c r="F38" s="42"/>
      <c r="G38" s="42"/>
      <c r="H38" s="42"/>
      <c r="I38" s="42"/>
      <c r="J38" s="42"/>
      <c r="K38" s="42"/>
      <c r="L38" s="42"/>
    </row>
    <row r="39" spans="1:12" s="45" customFormat="1" ht="12.75">
      <c r="A39" s="41"/>
      <c r="B39" s="42"/>
      <c r="C39" s="42" t="s">
        <v>56</v>
      </c>
      <c r="D39" s="46"/>
      <c r="E39" s="47"/>
      <c r="F39" s="42"/>
      <c r="G39" s="42"/>
      <c r="H39" s="42"/>
      <c r="I39" s="42"/>
      <c r="J39" s="42"/>
      <c r="K39" s="42"/>
      <c r="L39" s="42"/>
    </row>
    <row r="40" spans="1:12" s="45" customFormat="1" ht="6" customHeight="1">
      <c r="A40" s="41"/>
      <c r="B40" s="42"/>
      <c r="C40" s="42"/>
      <c r="D40" s="46"/>
      <c r="E40" s="47"/>
      <c r="F40" s="42"/>
      <c r="G40" s="42"/>
      <c r="H40" s="42"/>
      <c r="I40" s="42"/>
      <c r="J40" s="42"/>
      <c r="K40" s="42"/>
      <c r="L40" s="42"/>
    </row>
    <row r="41" spans="1:12" s="45" customFormat="1" ht="12.75">
      <c r="A41" s="41" t="s">
        <v>28</v>
      </c>
      <c r="B41" s="42"/>
      <c r="C41" s="42" t="s">
        <v>29</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68</v>
      </c>
      <c r="B43" s="42"/>
      <c r="C43" s="42" t="s">
        <v>69</v>
      </c>
      <c r="D43" s="46"/>
      <c r="E43" s="47"/>
      <c r="F43" s="42"/>
      <c r="G43" s="42"/>
      <c r="H43" s="42"/>
      <c r="I43" s="42"/>
      <c r="J43" s="42"/>
      <c r="K43" s="42"/>
      <c r="L43" s="42"/>
    </row>
    <row r="44" spans="1:12" s="45" customFormat="1" ht="12.75">
      <c r="A44" s="41"/>
      <c r="B44" s="42"/>
      <c r="C44" s="42" t="s">
        <v>76</v>
      </c>
      <c r="D44" s="46"/>
      <c r="E44" s="47"/>
      <c r="F44" s="42"/>
      <c r="G44" s="42"/>
      <c r="H44" s="42"/>
      <c r="I44" s="42"/>
      <c r="J44" s="42"/>
      <c r="K44" s="42"/>
      <c r="L44" s="42"/>
    </row>
    <row r="45" spans="1:12" s="45" customFormat="1" ht="12.75">
      <c r="A45" s="41"/>
      <c r="B45" s="42"/>
      <c r="C45" s="42" t="s">
        <v>77</v>
      </c>
      <c r="D45" s="46"/>
      <c r="E45" s="47"/>
      <c r="F45" s="42"/>
      <c r="G45" s="42"/>
      <c r="H45" s="42"/>
      <c r="I45" s="42"/>
      <c r="J45" s="42"/>
      <c r="K45" s="42"/>
      <c r="L45" s="42"/>
    </row>
    <row r="46" spans="1:12" s="45" customFormat="1" ht="6" customHeight="1">
      <c r="A46" s="41"/>
      <c r="B46" s="42"/>
      <c r="C46" s="42"/>
      <c r="D46" s="46"/>
      <c r="E46" s="47"/>
      <c r="F46" s="42"/>
      <c r="G46" s="42"/>
      <c r="H46" s="42"/>
      <c r="I46" s="42"/>
      <c r="J46" s="42"/>
      <c r="K46" s="42"/>
      <c r="L46" s="42"/>
    </row>
    <row r="47" spans="1:12" s="45" customFormat="1" ht="12.75">
      <c r="A47" s="41" t="s">
        <v>30</v>
      </c>
      <c r="B47" s="42"/>
      <c r="C47" s="42" t="s">
        <v>66</v>
      </c>
      <c r="D47" s="46"/>
      <c r="E47" s="47"/>
      <c r="F47" s="42"/>
      <c r="G47" s="42"/>
      <c r="H47" s="42"/>
      <c r="I47" s="42"/>
      <c r="J47" s="42"/>
      <c r="K47" s="42"/>
      <c r="L47" s="42"/>
    </row>
    <row r="48" spans="1:12" s="45" customFormat="1" ht="12.75">
      <c r="A48" s="41"/>
      <c r="B48" s="42"/>
      <c r="C48" s="42" t="s">
        <v>67</v>
      </c>
      <c r="D48" s="46"/>
      <c r="E48" s="47"/>
      <c r="F48" s="42"/>
      <c r="G48" s="42"/>
      <c r="H48" s="42"/>
      <c r="I48" s="42"/>
      <c r="J48" s="42"/>
      <c r="K48" s="42"/>
      <c r="L48" s="42"/>
    </row>
    <row r="49" spans="1:12" s="45" customFormat="1" ht="6" customHeight="1">
      <c r="A49" s="41"/>
      <c r="B49" s="42"/>
      <c r="C49" s="42"/>
      <c r="D49" s="46"/>
      <c r="E49" s="47"/>
      <c r="F49" s="42"/>
      <c r="G49" s="42"/>
      <c r="H49" s="42"/>
      <c r="I49" s="42"/>
      <c r="J49" s="42"/>
      <c r="K49" s="42"/>
      <c r="L49" s="42"/>
    </row>
    <row r="50" spans="1:12" s="45" customFormat="1" ht="12.75">
      <c r="A50" s="41" t="s">
        <v>70</v>
      </c>
      <c r="B50" s="42"/>
      <c r="C50" s="42" t="s">
        <v>71</v>
      </c>
      <c r="D50" s="46"/>
      <c r="E50" s="47"/>
      <c r="F50" s="42"/>
      <c r="G50" s="42"/>
      <c r="H50" s="42"/>
      <c r="I50" s="42"/>
      <c r="J50" s="42"/>
      <c r="K50" s="42"/>
      <c r="L50" s="42"/>
    </row>
    <row r="51" spans="1:12" s="45" customFormat="1" ht="12.75">
      <c r="A51" s="48"/>
      <c r="B51" s="42"/>
      <c r="C51" s="42" t="s">
        <v>72</v>
      </c>
      <c r="D51" s="46"/>
      <c r="E51" s="47"/>
      <c r="F51" s="42"/>
      <c r="G51" s="42"/>
      <c r="H51" s="42"/>
      <c r="I51" s="42"/>
      <c r="J51" s="42"/>
      <c r="K51" s="42"/>
      <c r="L51" s="42"/>
    </row>
    <row r="52" spans="1:12" s="45" customFormat="1" ht="6" customHeight="1">
      <c r="A52" s="49"/>
      <c r="B52" s="50"/>
      <c r="C52" s="50"/>
      <c r="D52" s="50"/>
      <c r="E52" s="51"/>
      <c r="F52" s="50"/>
      <c r="G52" s="50"/>
      <c r="H52" s="50"/>
      <c r="I52" s="50"/>
      <c r="J52" s="50"/>
      <c r="K52" s="50"/>
      <c r="L52" s="50"/>
    </row>
    <row r="53" spans="1:12" s="45" customFormat="1" ht="12.75">
      <c r="A53" s="41" t="s">
        <v>47</v>
      </c>
      <c r="B53" s="42"/>
      <c r="C53" s="42" t="s">
        <v>57</v>
      </c>
      <c r="D53" s="46"/>
      <c r="E53" s="47"/>
      <c r="F53" s="42"/>
      <c r="G53" s="42"/>
      <c r="H53" s="42"/>
      <c r="I53" s="42"/>
      <c r="J53" s="42"/>
      <c r="K53" s="42"/>
      <c r="L53" s="46"/>
    </row>
    <row r="54" spans="1:12" s="45" customFormat="1" ht="12.75">
      <c r="A54" s="48"/>
      <c r="B54" s="42"/>
      <c r="C54" s="42" t="s">
        <v>58</v>
      </c>
      <c r="D54" s="46"/>
      <c r="E54" s="47"/>
      <c r="F54" s="42"/>
      <c r="G54" s="42"/>
      <c r="H54" s="42"/>
      <c r="I54" s="42"/>
      <c r="J54" s="42"/>
      <c r="K54" s="42"/>
      <c r="L54" s="46"/>
    </row>
    <row r="55" spans="1:12" s="45" customFormat="1" ht="12.75">
      <c r="A55" s="48"/>
      <c r="B55" s="42"/>
      <c r="C55" s="42" t="s">
        <v>59</v>
      </c>
      <c r="D55" s="46"/>
      <c r="E55" s="47"/>
      <c r="F55" s="42"/>
      <c r="G55" s="42"/>
      <c r="H55" s="42"/>
      <c r="I55" s="42"/>
      <c r="J55" s="42"/>
      <c r="K55" s="42"/>
      <c r="L55" s="46"/>
    </row>
    <row r="56" spans="1:11" ht="12.75">
      <c r="A56" s="28"/>
      <c r="B56" s="26"/>
      <c r="C56" s="26"/>
      <c r="E56" s="27"/>
      <c r="F56" s="26"/>
      <c r="G56" s="26"/>
      <c r="H56" s="26"/>
      <c r="I56" s="26"/>
      <c r="J56" s="26"/>
      <c r="K56" s="26"/>
    </row>
    <row r="57" spans="1:12" ht="12.75">
      <c r="A57" s="81" t="s">
        <v>31</v>
      </c>
      <c r="B57" s="82"/>
      <c r="C57" s="82"/>
      <c r="D57" s="82"/>
      <c r="E57" s="82"/>
      <c r="F57" s="82"/>
      <c r="G57" s="82"/>
      <c r="H57" s="82"/>
      <c r="I57" s="82"/>
      <c r="J57" s="82"/>
      <c r="K57" s="82"/>
      <c r="L57" s="88"/>
    </row>
    <row r="58" ht="12.75">
      <c r="A58" s="24"/>
    </row>
    <row r="59" spans="1:12" ht="13.5">
      <c r="A59" s="32"/>
      <c r="F59" s="10" t="s">
        <v>9</v>
      </c>
      <c r="G59" s="33"/>
      <c r="H59" s="10" t="s">
        <v>73</v>
      </c>
      <c r="I59" s="10" t="s">
        <v>10</v>
      </c>
      <c r="J59" s="53" t="s">
        <v>74</v>
      </c>
      <c r="K59" s="10" t="s">
        <v>45</v>
      </c>
      <c r="L59" s="34"/>
    </row>
    <row r="60" spans="1:12" ht="12.75">
      <c r="A60" s="35"/>
      <c r="F60" s="8" t="s">
        <v>17</v>
      </c>
      <c r="G60" s="36"/>
      <c r="H60" s="8" t="s">
        <v>18</v>
      </c>
      <c r="I60" s="8" t="s">
        <v>19</v>
      </c>
      <c r="J60" s="54" t="s">
        <v>75</v>
      </c>
      <c r="K60" s="8" t="s">
        <v>46</v>
      </c>
      <c r="L60" s="34"/>
    </row>
    <row r="61" spans="2:12" ht="12.75">
      <c r="B61" s="37" t="s">
        <v>50</v>
      </c>
      <c r="C61" s="37"/>
      <c r="D61" s="26"/>
      <c r="E61" s="27"/>
      <c r="F61" s="38">
        <v>0.35</v>
      </c>
      <c r="G61" s="26"/>
      <c r="H61" s="38">
        <v>0.41</v>
      </c>
      <c r="I61" s="38">
        <v>0.1</v>
      </c>
      <c r="J61" s="38">
        <v>0.1</v>
      </c>
      <c r="K61" s="38">
        <v>0.04</v>
      </c>
      <c r="L61" s="39"/>
    </row>
    <row r="62" spans="2:12" ht="12.75">
      <c r="B62" s="37" t="s">
        <v>51</v>
      </c>
      <c r="C62" s="37"/>
      <c r="D62" s="26"/>
      <c r="E62" s="27"/>
      <c r="F62" s="38">
        <v>0.39</v>
      </c>
      <c r="G62" s="26"/>
      <c r="H62" s="38">
        <v>0.41</v>
      </c>
      <c r="I62" s="38">
        <v>0.1</v>
      </c>
      <c r="J62" s="38">
        <v>0.1</v>
      </c>
      <c r="K62" s="38">
        <v>0</v>
      </c>
      <c r="L62" s="39"/>
    </row>
    <row r="63" spans="1:12" s="23" customFormat="1" ht="12.75">
      <c r="A63" s="3"/>
      <c r="B63" s="37" t="s">
        <v>48</v>
      </c>
      <c r="C63" s="37"/>
      <c r="D63" s="26"/>
      <c r="E63" s="27"/>
      <c r="F63" s="38">
        <v>0.41</v>
      </c>
      <c r="G63" s="26"/>
      <c r="H63" s="38">
        <v>0.41</v>
      </c>
      <c r="I63" s="38">
        <v>0.08</v>
      </c>
      <c r="J63" s="38">
        <v>0.1</v>
      </c>
      <c r="K63" s="38">
        <v>0</v>
      </c>
      <c r="L63" s="39"/>
    </row>
    <row r="64" spans="1:12" s="23" customFormat="1" ht="12.75">
      <c r="A64" s="3"/>
      <c r="B64" s="37"/>
      <c r="C64" s="37"/>
      <c r="D64" s="26"/>
      <c r="E64" s="27"/>
      <c r="F64" s="38"/>
      <c r="G64" s="26"/>
      <c r="H64" s="38"/>
      <c r="I64" s="38"/>
      <c r="J64" s="38"/>
      <c r="K64" s="38"/>
      <c r="L64" s="39"/>
    </row>
    <row r="65" spans="1:12" s="23" customFormat="1" ht="12.75">
      <c r="A65" s="52" t="s">
        <v>62</v>
      </c>
      <c r="B65" s="37"/>
      <c r="C65" s="37"/>
      <c r="D65" s="26"/>
      <c r="E65" s="27"/>
      <c r="F65" s="38"/>
      <c r="G65" s="26"/>
      <c r="H65" s="38"/>
      <c r="I65" s="38"/>
      <c r="J65" s="38"/>
      <c r="K65" s="38"/>
      <c r="L65" s="39"/>
    </row>
    <row r="66" spans="1:12" s="23" customFormat="1" ht="12.75">
      <c r="A66" s="52" t="s">
        <v>63</v>
      </c>
      <c r="B66" s="37"/>
      <c r="C66" s="37"/>
      <c r="D66" s="26"/>
      <c r="E66" s="27"/>
      <c r="F66" s="38"/>
      <c r="G66" s="26"/>
      <c r="H66" s="38"/>
      <c r="I66" s="38"/>
      <c r="J66" s="38"/>
      <c r="K66" s="38"/>
      <c r="L66" s="39"/>
    </row>
    <row r="67" ht="12.75">
      <c r="A67" s="24"/>
    </row>
    <row r="68" spans="1:12" ht="12.75">
      <c r="A68" s="84" t="s">
        <v>39</v>
      </c>
      <c r="B68" s="85"/>
      <c r="C68" s="85"/>
      <c r="D68" s="85"/>
      <c r="E68" s="85"/>
      <c r="F68" s="85"/>
      <c r="G68" s="85"/>
      <c r="H68" s="85"/>
      <c r="I68" s="85"/>
      <c r="J68" s="85"/>
      <c r="K68" s="85"/>
      <c r="L68" s="89"/>
    </row>
    <row r="69" spans="1:5" ht="12.75">
      <c r="A69" s="24"/>
      <c r="D69"/>
      <c r="E69" s="16"/>
    </row>
    <row r="70" spans="1:12" ht="54" customHeight="1">
      <c r="A70" s="87" t="s">
        <v>61</v>
      </c>
      <c r="B70" s="87"/>
      <c r="C70" s="87"/>
      <c r="D70" s="87"/>
      <c r="E70" s="87"/>
      <c r="F70" s="87"/>
      <c r="G70" s="87"/>
      <c r="H70" s="87"/>
      <c r="I70" s="87"/>
      <c r="J70" s="87"/>
      <c r="K70" s="87"/>
      <c r="L70" s="87"/>
    </row>
    <row r="71" spans="1:5" ht="12.75">
      <c r="A71" s="16"/>
      <c r="D71"/>
      <c r="E71" s="16"/>
    </row>
    <row r="72" spans="2:4" ht="12.75">
      <c r="B72" s="24" t="s">
        <v>40</v>
      </c>
      <c r="C72" s="24"/>
      <c r="D72" s="16">
        <f>195861*0.9</f>
        <v>176274.9</v>
      </c>
    </row>
    <row r="73" spans="2:4" ht="12.75">
      <c r="B73" s="24" t="s">
        <v>41</v>
      </c>
      <c r="C73" s="24"/>
      <c r="D73" s="16">
        <f>331125*0.9</f>
        <v>298012.5</v>
      </c>
    </row>
    <row r="74" spans="2:4" ht="12.75">
      <c r="B74" s="16" t="s">
        <v>42</v>
      </c>
      <c r="D74" s="16">
        <f>366851*0.9</f>
        <v>330165.9</v>
      </c>
    </row>
    <row r="75" ht="12.75">
      <c r="D75" s="16" t="s">
        <v>36</v>
      </c>
    </row>
    <row r="77" ht="12.75">
      <c r="A77" s="24" t="s">
        <v>37</v>
      </c>
    </row>
  </sheetData>
  <sheetProtection/>
  <mergeCells count="11">
    <mergeCell ref="A68:L68"/>
    <mergeCell ref="A70:L70"/>
    <mergeCell ref="A31:L31"/>
    <mergeCell ref="A57:L57"/>
    <mergeCell ref="H10:L10"/>
    <mergeCell ref="A8:L8"/>
    <mergeCell ref="A1:L1"/>
    <mergeCell ref="A2:L2"/>
    <mergeCell ref="A3:L3"/>
    <mergeCell ref="A5:L5"/>
    <mergeCell ref="A4:L4"/>
  </mergeCells>
  <hyperlinks>
    <hyperlink ref="A4" r:id="rId1" display="www.vernondowns.com"/>
  </hyperlinks>
  <printOptions horizontalCentered="1"/>
  <pageMargins left="0.25" right="0.25" top="0.75" bottom="0.5" header="0.5" footer="0.5"/>
  <pageSetup fitToHeight="1" fitToWidth="1" horizontalDpi="600" verticalDpi="600" orientation="portrait" scale="73"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A28" sqref="A28"/>
    </sheetView>
  </sheetViews>
  <sheetFormatPr defaultColWidth="9.140625" defaultRowHeight="12.75"/>
  <cols>
    <col min="1" max="1" width="9.28125" style="3" customWidth="1"/>
    <col min="2" max="3" width="14.140625" style="16" customWidth="1"/>
    <col min="4" max="4" width="12.7109375" style="16" customWidth="1"/>
    <col min="5" max="5" width="8.57421875" style="17" customWidth="1"/>
    <col min="6" max="6" width="9.57421875" style="16" customWidth="1"/>
    <col min="7" max="7" width="1.421875" style="16" customWidth="1"/>
    <col min="8" max="12" width="13.8515625" style="16" customWidth="1"/>
    <col min="13" max="13" width="12.7109375" style="0" customWidth="1"/>
  </cols>
  <sheetData>
    <row r="1" spans="1:12" ht="18">
      <c r="A1" s="77" t="s">
        <v>52</v>
      </c>
      <c r="B1" s="77"/>
      <c r="C1" s="77"/>
      <c r="D1" s="77"/>
      <c r="E1" s="77"/>
      <c r="F1" s="77"/>
      <c r="G1" s="77"/>
      <c r="H1" s="77"/>
      <c r="I1" s="77"/>
      <c r="J1" s="77"/>
      <c r="K1" s="77"/>
      <c r="L1" s="77"/>
    </row>
    <row r="2" spans="1:12" ht="15">
      <c r="A2" s="78" t="s">
        <v>0</v>
      </c>
      <c r="B2" s="78"/>
      <c r="C2" s="78"/>
      <c r="D2" s="78"/>
      <c r="E2" s="78"/>
      <c r="F2" s="78"/>
      <c r="G2" s="78"/>
      <c r="H2" s="78"/>
      <c r="I2" s="78"/>
      <c r="J2" s="78"/>
      <c r="K2" s="78"/>
      <c r="L2" s="78"/>
    </row>
    <row r="3" spans="1:12" s="1" customFormat="1" ht="15">
      <c r="A3" s="78" t="s">
        <v>1</v>
      </c>
      <c r="B3" s="78"/>
      <c r="C3" s="78"/>
      <c r="D3" s="78"/>
      <c r="E3" s="78"/>
      <c r="F3" s="78"/>
      <c r="G3" s="78"/>
      <c r="H3" s="78"/>
      <c r="I3" s="78"/>
      <c r="J3" s="78"/>
      <c r="K3" s="78"/>
      <c r="L3" s="78"/>
    </row>
    <row r="4" spans="1:12" s="1" customFormat="1" ht="14.25" customHeight="1">
      <c r="A4" s="79" t="s">
        <v>2</v>
      </c>
      <c r="B4" s="79"/>
      <c r="C4" s="79"/>
      <c r="D4" s="79"/>
      <c r="E4" s="79"/>
      <c r="F4" s="79"/>
      <c r="G4" s="79"/>
      <c r="H4" s="79"/>
      <c r="I4" s="79"/>
      <c r="J4" s="79"/>
      <c r="K4" s="79"/>
      <c r="L4" s="79"/>
    </row>
    <row r="5" spans="1:12" s="1" customFormat="1" ht="14.25">
      <c r="A5" s="80" t="s">
        <v>3</v>
      </c>
      <c r="B5" s="80"/>
      <c r="C5" s="80"/>
      <c r="D5" s="80"/>
      <c r="E5" s="80"/>
      <c r="F5" s="80"/>
      <c r="G5" s="80"/>
      <c r="H5" s="80"/>
      <c r="I5" s="80"/>
      <c r="J5" s="80"/>
      <c r="K5" s="80"/>
      <c r="L5" s="80"/>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81" t="s">
        <v>53</v>
      </c>
      <c r="B8" s="82"/>
      <c r="C8" s="82"/>
      <c r="D8" s="82"/>
      <c r="E8" s="82"/>
      <c r="F8" s="82"/>
      <c r="G8" s="82"/>
      <c r="H8" s="82"/>
      <c r="I8" s="82"/>
      <c r="J8" s="82"/>
      <c r="K8" s="82"/>
      <c r="L8" s="88"/>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83" t="s">
        <v>5</v>
      </c>
      <c r="I10" s="83"/>
      <c r="J10" s="83"/>
      <c r="K10" s="83"/>
      <c r="L10" s="83"/>
    </row>
    <row r="11" spans="1:12" s="1" customFormat="1" ht="12.75">
      <c r="A11" s="3"/>
      <c r="B11" s="5"/>
      <c r="C11" s="5"/>
      <c r="D11" s="5"/>
      <c r="E11" s="6"/>
      <c r="F11" s="5"/>
      <c r="G11" s="5"/>
      <c r="H11" s="5"/>
      <c r="I11" s="5"/>
      <c r="J11" s="5"/>
      <c r="K11" s="5"/>
      <c r="L11" s="5"/>
    </row>
    <row r="12" spans="1:12" s="12" customFormat="1" ht="12">
      <c r="A12" s="9"/>
      <c r="B12" s="10" t="s">
        <v>6</v>
      </c>
      <c r="C12" s="10" t="s">
        <v>6</v>
      </c>
      <c r="D12" s="10"/>
      <c r="E12" s="11" t="s">
        <v>7</v>
      </c>
      <c r="F12" s="10" t="s">
        <v>8</v>
      </c>
      <c r="G12" s="10"/>
      <c r="H12" s="10" t="s">
        <v>9</v>
      </c>
      <c r="I12" s="10" t="s">
        <v>73</v>
      </c>
      <c r="J12" s="10" t="s">
        <v>10</v>
      </c>
      <c r="K12" s="10" t="s">
        <v>74</v>
      </c>
      <c r="L12" s="10" t="s">
        <v>45</v>
      </c>
    </row>
    <row r="13" spans="1:12" s="12" customFormat="1" ht="12">
      <c r="A13" s="13" t="s">
        <v>11</v>
      </c>
      <c r="B13" s="8" t="s">
        <v>12</v>
      </c>
      <c r="C13" s="8" t="s">
        <v>13</v>
      </c>
      <c r="D13" s="8" t="s">
        <v>14</v>
      </c>
      <c r="E13" s="14" t="s">
        <v>15</v>
      </c>
      <c r="F13" s="8" t="s">
        <v>16</v>
      </c>
      <c r="G13" s="15"/>
      <c r="H13" s="8" t="s">
        <v>17</v>
      </c>
      <c r="I13" s="8" t="s">
        <v>18</v>
      </c>
      <c r="J13" s="8" t="s">
        <v>19</v>
      </c>
      <c r="K13" s="8" t="s">
        <v>75</v>
      </c>
      <c r="L13" s="8" t="s">
        <v>46</v>
      </c>
    </row>
    <row r="15" spans="1:12" ht="12.75">
      <c r="A15" s="3">
        <v>39904</v>
      </c>
      <c r="B15" s="16">
        <v>33348742.16</v>
      </c>
      <c r="C15" s="16">
        <f aca="true" t="shared" si="0" ref="C15:C26">+B15-D15</f>
        <v>30335480.42</v>
      </c>
      <c r="D15" s="16">
        <v>3013261.74</v>
      </c>
      <c r="E15" s="17">
        <v>761</v>
      </c>
      <c r="F15" s="16">
        <f>D15/E15/30</f>
        <v>131.98693561103812</v>
      </c>
      <c r="H15" s="16">
        <v>1024509.01</v>
      </c>
      <c r="I15" s="16">
        <v>1265569.96</v>
      </c>
      <c r="J15" s="16">
        <v>301326.18</v>
      </c>
      <c r="K15" s="16">
        <v>301326.18</v>
      </c>
      <c r="L15" s="16">
        <v>120530.47</v>
      </c>
    </row>
    <row r="16" spans="1:12" ht="12.75">
      <c r="A16" s="3">
        <v>39934</v>
      </c>
      <c r="B16" s="16">
        <v>36276187.68</v>
      </c>
      <c r="C16" s="16">
        <f t="shared" si="0"/>
        <v>32892134.08</v>
      </c>
      <c r="D16" s="16">
        <v>3384053.6</v>
      </c>
      <c r="E16" s="17">
        <v>761</v>
      </c>
      <c r="F16" s="16">
        <f>D16/E16/31</f>
        <v>143.44680598533338</v>
      </c>
      <c r="H16" s="16">
        <v>1150578.24</v>
      </c>
      <c r="I16" s="16">
        <v>1421302.5</v>
      </c>
      <c r="J16" s="16">
        <v>338405.36</v>
      </c>
      <c r="K16" s="16">
        <v>338405.36</v>
      </c>
      <c r="L16" s="16">
        <v>135362.13</v>
      </c>
    </row>
    <row r="17" spans="1:12" ht="12.75">
      <c r="A17" s="3">
        <v>39965</v>
      </c>
      <c r="B17" s="16">
        <v>35251829.54</v>
      </c>
      <c r="C17" s="16">
        <f t="shared" si="0"/>
        <v>32037819.09</v>
      </c>
      <c r="D17" s="16">
        <v>3214010.45</v>
      </c>
      <c r="E17" s="17">
        <v>761</v>
      </c>
      <c r="F17" s="16">
        <f>D17/E17/30</f>
        <v>140.78013359614542</v>
      </c>
      <c r="H17" s="16">
        <v>1092763.58</v>
      </c>
      <c r="I17" s="16">
        <v>1349884.41</v>
      </c>
      <c r="J17" s="16">
        <v>321401.06</v>
      </c>
      <c r="K17" s="16">
        <v>321401.06</v>
      </c>
      <c r="L17" s="16">
        <v>128560.42</v>
      </c>
    </row>
    <row r="18" spans="1:12" ht="12.75">
      <c r="A18" s="3">
        <v>39995</v>
      </c>
      <c r="B18" s="16">
        <v>39320442.05</v>
      </c>
      <c r="C18" s="16">
        <f t="shared" si="0"/>
        <v>35616459.82</v>
      </c>
      <c r="D18" s="16">
        <v>3703982.23</v>
      </c>
      <c r="E18" s="17">
        <v>761</v>
      </c>
      <c r="F18" s="16">
        <f>D18/E18/31</f>
        <v>157.00827561358145</v>
      </c>
      <c r="H18" s="16">
        <v>1259354.04</v>
      </c>
      <c r="I18" s="16">
        <v>1555672.54</v>
      </c>
      <c r="J18" s="16">
        <v>370398.23</v>
      </c>
      <c r="K18" s="16">
        <v>370398.23</v>
      </c>
      <c r="L18" s="16">
        <v>148159.28</v>
      </c>
    </row>
    <row r="19" spans="1:12" ht="12.75">
      <c r="A19" s="3">
        <v>40026</v>
      </c>
      <c r="B19" s="16">
        <v>37613793.72</v>
      </c>
      <c r="C19" s="16">
        <f t="shared" si="0"/>
        <v>34154266.67</v>
      </c>
      <c r="D19" s="16">
        <v>3459527.05</v>
      </c>
      <c r="E19" s="17">
        <v>761</v>
      </c>
      <c r="F19" s="16">
        <f>D19/E19/31</f>
        <v>146.64605357975498</v>
      </c>
      <c r="H19" s="16">
        <v>1176239.24</v>
      </c>
      <c r="I19" s="16">
        <v>1453001.36</v>
      </c>
      <c r="J19" s="16">
        <v>345952.71</v>
      </c>
      <c r="K19" s="16">
        <v>345952.71</v>
      </c>
      <c r="L19" s="16">
        <v>138381.09</v>
      </c>
    </row>
    <row r="20" spans="1:12" ht="12.75">
      <c r="A20" s="3">
        <v>40057</v>
      </c>
      <c r="B20" s="16">
        <v>33685067.36</v>
      </c>
      <c r="C20" s="16">
        <f t="shared" si="0"/>
        <v>30579701.41</v>
      </c>
      <c r="D20" s="16">
        <v>3105365.95</v>
      </c>
      <c r="E20" s="17">
        <v>761</v>
      </c>
      <c r="F20" s="16">
        <f>D20/E20/30</f>
        <v>136.0212855891371</v>
      </c>
      <c r="H20" s="16">
        <v>1055824.5</v>
      </c>
      <c r="I20" s="16">
        <v>1304253.7</v>
      </c>
      <c r="J20" s="16">
        <v>310536.62</v>
      </c>
      <c r="K20" s="16">
        <v>310536.62</v>
      </c>
      <c r="L20" s="16">
        <v>124214.61</v>
      </c>
    </row>
    <row r="21" spans="1:12" ht="12.75">
      <c r="A21" s="3">
        <v>40087</v>
      </c>
      <c r="B21" s="16">
        <v>35703664.01</v>
      </c>
      <c r="C21" s="16">
        <f t="shared" si="0"/>
        <v>32424746.519999996</v>
      </c>
      <c r="D21" s="16">
        <v>3278917.49</v>
      </c>
      <c r="E21" s="17">
        <v>761</v>
      </c>
      <c r="F21" s="16">
        <f>D21/E21/31</f>
        <v>138.99018651180535</v>
      </c>
      <c r="H21" s="16">
        <v>1114832.01</v>
      </c>
      <c r="I21" s="16">
        <v>1377145.37</v>
      </c>
      <c r="J21" s="16">
        <v>327891.75</v>
      </c>
      <c r="K21" s="16">
        <v>327891.75</v>
      </c>
      <c r="L21" s="16">
        <v>131156.66</v>
      </c>
    </row>
    <row r="22" spans="1:12" ht="12.75">
      <c r="A22" s="3">
        <v>40118</v>
      </c>
      <c r="B22" s="16">
        <v>33199617.62</v>
      </c>
      <c r="C22" s="16">
        <f t="shared" si="0"/>
        <v>30110150.900000002</v>
      </c>
      <c r="D22" s="16">
        <v>3089466.72</v>
      </c>
      <c r="E22" s="17">
        <v>761</v>
      </c>
      <c r="F22" s="16">
        <f>D22/E22/30</f>
        <v>135.32486727989487</v>
      </c>
      <c r="H22" s="16">
        <v>1050418.72</v>
      </c>
      <c r="I22" s="16">
        <v>1297576</v>
      </c>
      <c r="J22" s="16">
        <v>308946.67</v>
      </c>
      <c r="K22" s="16">
        <v>308946.67</v>
      </c>
      <c r="L22" s="16">
        <v>123578.68</v>
      </c>
    </row>
    <row r="23" spans="1:12" ht="12.75">
      <c r="A23" s="3">
        <v>40148</v>
      </c>
      <c r="B23" s="16">
        <v>27218743.39</v>
      </c>
      <c r="C23" s="16">
        <f t="shared" si="0"/>
        <v>24656657</v>
      </c>
      <c r="D23" s="16">
        <v>2562086.39</v>
      </c>
      <c r="E23" s="17">
        <v>761</v>
      </c>
      <c r="F23" s="16">
        <f>D23/E23/31</f>
        <v>108.60439955915392</v>
      </c>
      <c r="H23" s="16">
        <v>871109.39</v>
      </c>
      <c r="I23" s="16">
        <v>1076076.31</v>
      </c>
      <c r="J23" s="16">
        <v>256208.65</v>
      </c>
      <c r="K23" s="16">
        <v>256208.65</v>
      </c>
      <c r="L23" s="16">
        <v>102483.44</v>
      </c>
    </row>
    <row r="24" spans="1:12" ht="12.75">
      <c r="A24" s="3">
        <v>40179</v>
      </c>
      <c r="B24" s="16">
        <v>31228055.52</v>
      </c>
      <c r="C24" s="16">
        <f t="shared" si="0"/>
        <v>28424964.45</v>
      </c>
      <c r="D24" s="16">
        <v>2803091.07</v>
      </c>
      <c r="E24" s="17">
        <v>761</v>
      </c>
      <c r="F24" s="16">
        <f>D24/E24/31</f>
        <v>118.82035818744436</v>
      </c>
      <c r="H24" s="16">
        <v>953050.97</v>
      </c>
      <c r="I24" s="16">
        <v>1177298.24</v>
      </c>
      <c r="J24" s="16">
        <v>280309.1</v>
      </c>
      <c r="K24" s="16">
        <v>280309.1</v>
      </c>
      <c r="L24" s="16">
        <v>112123.62</v>
      </c>
    </row>
    <row r="25" spans="1:12" ht="12.75">
      <c r="A25" s="3">
        <v>40210</v>
      </c>
      <c r="B25" s="16">
        <v>32911631</v>
      </c>
      <c r="C25" s="16">
        <f t="shared" si="0"/>
        <v>29895403.02</v>
      </c>
      <c r="D25" s="16">
        <v>3016227.98</v>
      </c>
      <c r="E25" s="17">
        <v>761</v>
      </c>
      <c r="F25" s="16">
        <f>D25/E25/28</f>
        <v>141.55378167824293</v>
      </c>
      <c r="H25" s="16">
        <v>1025517.53</v>
      </c>
      <c r="I25" s="16">
        <v>1266815.79</v>
      </c>
      <c r="J25" s="16">
        <v>301622.83</v>
      </c>
      <c r="K25" s="16">
        <v>301622.82</v>
      </c>
      <c r="L25" s="16">
        <v>120649.11</v>
      </c>
    </row>
    <row r="26" spans="1:12" ht="12.75">
      <c r="A26" s="3">
        <v>40238</v>
      </c>
      <c r="B26" s="16">
        <v>39073399.97</v>
      </c>
      <c r="C26" s="16">
        <f t="shared" si="0"/>
        <v>35482823.76</v>
      </c>
      <c r="D26" s="16">
        <v>3590576.21</v>
      </c>
      <c r="E26" s="17">
        <v>761</v>
      </c>
      <c r="F26" s="16">
        <f>D26/E26/31</f>
        <v>152.20110253910389</v>
      </c>
      <c r="H26" s="16">
        <v>1220795.92</v>
      </c>
      <c r="I26" s="16">
        <v>1508042.03</v>
      </c>
      <c r="J26" s="16">
        <v>359057.63</v>
      </c>
      <c r="K26" s="16">
        <v>359057.63</v>
      </c>
      <c r="L26" s="16">
        <v>143623.05</v>
      </c>
    </row>
    <row r="27" spans="1:12" ht="13.5" thickBot="1">
      <c r="A27" s="3" t="s">
        <v>20</v>
      </c>
      <c r="B27" s="18">
        <f>SUM(B15:B26)</f>
        <v>414831174.02</v>
      </c>
      <c r="C27" s="18">
        <f>SUM(C15:C26)</f>
        <v>376610607.1399999</v>
      </c>
      <c r="D27" s="18">
        <f>SUM(D15:D26)</f>
        <v>38220566.879999995</v>
      </c>
      <c r="H27" s="18">
        <f>SUM(H15:H26)</f>
        <v>12994993.15</v>
      </c>
      <c r="I27" s="18">
        <f>SUM(I15:I26)</f>
        <v>16052638.209999999</v>
      </c>
      <c r="J27" s="18">
        <f>SUM(J15:J26)</f>
        <v>3822056.79</v>
      </c>
      <c r="K27" s="18">
        <f>SUM(K15:K26)</f>
        <v>3822056.78</v>
      </c>
      <c r="L27" s="18">
        <f>SUM(L15:L26)</f>
        <v>1528822.56</v>
      </c>
    </row>
    <row r="28" spans="2:12" ht="10.5" customHeight="1" thickTop="1">
      <c r="B28" s="19"/>
      <c r="C28" s="19"/>
      <c r="D28" s="19"/>
      <c r="H28" s="19"/>
      <c r="I28" s="19"/>
      <c r="J28" s="19"/>
      <c r="K28" s="19"/>
      <c r="L28" s="19"/>
    </row>
    <row r="29" spans="1:12" s="22" customFormat="1" ht="12.75">
      <c r="A29" s="20"/>
      <c r="B29" s="21"/>
      <c r="C29" s="21">
        <f>C27/B27</f>
        <v>0.9078647669855271</v>
      </c>
      <c r="D29" s="21">
        <f>D27/B27</f>
        <v>0.09213523301447275</v>
      </c>
      <c r="H29" s="21">
        <f>H27/$D$27</f>
        <v>0.34000001074813996</v>
      </c>
      <c r="I29" s="21">
        <f>I27/$D$27</f>
        <v>0.42000000315013647</v>
      </c>
      <c r="J29" s="21">
        <f>J27/$D$27</f>
        <v>0.10000000266872024</v>
      </c>
      <c r="K29" s="21">
        <f>K27/$D$27</f>
        <v>0.100000002407081</v>
      </c>
      <c r="L29" s="21">
        <f>L27/$D$27</f>
        <v>0.039999996985915984</v>
      </c>
    </row>
    <row r="31" spans="1:12" s="23" customFormat="1" ht="12.75">
      <c r="A31" s="81" t="s">
        <v>21</v>
      </c>
      <c r="B31" s="82"/>
      <c r="C31" s="82"/>
      <c r="D31" s="82"/>
      <c r="E31" s="82"/>
      <c r="F31" s="82"/>
      <c r="G31" s="82"/>
      <c r="H31" s="82"/>
      <c r="I31" s="82"/>
      <c r="J31" s="82"/>
      <c r="K31" s="82"/>
      <c r="L31" s="88"/>
    </row>
    <row r="32" ht="12.75">
      <c r="A32" s="24"/>
    </row>
    <row r="33" spans="1:12" s="45" customFormat="1" ht="12.75" customHeight="1">
      <c r="A33" s="41" t="s">
        <v>22</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2" s="45" customFormat="1" ht="6" customHeight="1">
      <c r="A35" s="41"/>
      <c r="B35" s="42"/>
      <c r="C35" s="43"/>
      <c r="D35" s="46"/>
      <c r="E35" s="43"/>
      <c r="F35" s="43"/>
      <c r="G35" s="43"/>
      <c r="H35" s="43"/>
      <c r="I35" s="42"/>
      <c r="J35" s="42"/>
      <c r="K35" s="42"/>
      <c r="L35" s="42"/>
    </row>
    <row r="36" spans="1:12" s="45" customFormat="1" ht="12.75">
      <c r="A36" s="41" t="s">
        <v>23</v>
      </c>
      <c r="B36" s="42"/>
      <c r="C36" s="43" t="s">
        <v>24</v>
      </c>
      <c r="D36" s="46"/>
      <c r="E36" s="43"/>
      <c r="F36" s="43"/>
      <c r="G36" s="43"/>
      <c r="H36" s="43"/>
      <c r="I36" s="42"/>
      <c r="J36" s="42"/>
      <c r="K36" s="42"/>
      <c r="L36" s="42"/>
    </row>
    <row r="37" spans="1:12" s="45" customFormat="1" ht="6" customHeight="1">
      <c r="A37" s="41"/>
      <c r="B37" s="42"/>
      <c r="C37" s="43"/>
      <c r="D37" s="46"/>
      <c r="E37" s="43"/>
      <c r="F37" s="43"/>
      <c r="G37" s="43"/>
      <c r="H37" s="43"/>
      <c r="I37" s="42"/>
      <c r="J37" s="42"/>
      <c r="K37" s="42"/>
      <c r="L37" s="42"/>
    </row>
    <row r="38" spans="1:12" s="45" customFormat="1" ht="12.75">
      <c r="A38" s="41" t="s">
        <v>25</v>
      </c>
      <c r="B38" s="42"/>
      <c r="C38" s="42" t="s">
        <v>55</v>
      </c>
      <c r="D38" s="46"/>
      <c r="E38" s="47"/>
      <c r="F38" s="42"/>
      <c r="G38" s="42"/>
      <c r="H38" s="42"/>
      <c r="I38" s="42"/>
      <c r="J38" s="42"/>
      <c r="K38" s="42"/>
      <c r="L38" s="42"/>
    </row>
    <row r="39" spans="1:12" s="45" customFormat="1" ht="12.75">
      <c r="A39" s="41"/>
      <c r="B39" s="42"/>
      <c r="C39" s="42" t="s">
        <v>56</v>
      </c>
      <c r="D39" s="46"/>
      <c r="E39" s="47"/>
      <c r="F39" s="42"/>
      <c r="G39" s="42"/>
      <c r="H39" s="42"/>
      <c r="I39" s="42"/>
      <c r="J39" s="42"/>
      <c r="K39" s="42"/>
      <c r="L39" s="42"/>
    </row>
    <row r="40" spans="1:12" s="45" customFormat="1" ht="6" customHeight="1">
      <c r="A40" s="41"/>
      <c r="B40" s="42"/>
      <c r="C40" s="42"/>
      <c r="D40" s="46"/>
      <c r="E40" s="47"/>
      <c r="F40" s="42"/>
      <c r="G40" s="42"/>
      <c r="H40" s="42"/>
      <c r="I40" s="42"/>
      <c r="J40" s="42"/>
      <c r="K40" s="42"/>
      <c r="L40" s="42"/>
    </row>
    <row r="41" spans="1:12" s="45" customFormat="1" ht="12.75">
      <c r="A41" s="41" t="s">
        <v>28</v>
      </c>
      <c r="B41" s="42"/>
      <c r="C41" s="42" t="s">
        <v>29</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68</v>
      </c>
      <c r="B43" s="42"/>
      <c r="C43" s="42" t="s">
        <v>69</v>
      </c>
      <c r="D43" s="46"/>
      <c r="E43" s="47"/>
      <c r="F43" s="42"/>
      <c r="G43" s="42"/>
      <c r="H43" s="42"/>
      <c r="I43" s="42"/>
      <c r="J43" s="42"/>
      <c r="K43" s="42"/>
      <c r="L43" s="42"/>
    </row>
    <row r="44" spans="1:12" s="45" customFormat="1" ht="12.75">
      <c r="A44" s="41"/>
      <c r="B44" s="42"/>
      <c r="C44" s="42" t="s">
        <v>76</v>
      </c>
      <c r="D44" s="46"/>
      <c r="E44" s="47"/>
      <c r="F44" s="42"/>
      <c r="G44" s="42"/>
      <c r="H44" s="42"/>
      <c r="I44" s="42"/>
      <c r="J44" s="42"/>
      <c r="K44" s="42"/>
      <c r="L44" s="42"/>
    </row>
    <row r="45" spans="1:12" s="45" customFormat="1" ht="12.75">
      <c r="A45" s="41"/>
      <c r="B45" s="42"/>
      <c r="C45" s="42" t="s">
        <v>77</v>
      </c>
      <c r="D45" s="46"/>
      <c r="E45" s="47"/>
      <c r="F45" s="42"/>
      <c r="G45" s="42"/>
      <c r="H45" s="42"/>
      <c r="I45" s="42"/>
      <c r="J45" s="42"/>
      <c r="K45" s="42"/>
      <c r="L45" s="42"/>
    </row>
    <row r="46" spans="1:12" s="45" customFormat="1" ht="6.75" customHeight="1">
      <c r="A46" s="41"/>
      <c r="B46" s="42"/>
      <c r="C46" s="42"/>
      <c r="D46" s="46"/>
      <c r="E46" s="47"/>
      <c r="F46" s="42"/>
      <c r="G46" s="42"/>
      <c r="H46" s="42"/>
      <c r="I46" s="42"/>
      <c r="J46" s="42"/>
      <c r="K46" s="42"/>
      <c r="L46" s="42"/>
    </row>
    <row r="47" spans="1:12" s="45" customFormat="1" ht="12.75">
      <c r="A47" s="41" t="s">
        <v>30</v>
      </c>
      <c r="B47" s="42"/>
      <c r="C47" s="42" t="s">
        <v>66</v>
      </c>
      <c r="D47" s="46"/>
      <c r="E47" s="47"/>
      <c r="F47" s="42"/>
      <c r="G47" s="42"/>
      <c r="H47" s="42"/>
      <c r="I47" s="42"/>
      <c r="J47" s="42"/>
      <c r="K47" s="42"/>
      <c r="L47" s="42"/>
    </row>
    <row r="48" spans="1:12" s="45" customFormat="1" ht="12.75">
      <c r="A48" s="41"/>
      <c r="B48" s="42"/>
      <c r="C48" s="42" t="s">
        <v>67</v>
      </c>
      <c r="D48" s="46"/>
      <c r="E48" s="47"/>
      <c r="F48" s="42"/>
      <c r="G48" s="42"/>
      <c r="H48" s="42"/>
      <c r="I48" s="42"/>
      <c r="J48" s="42"/>
      <c r="K48" s="42"/>
      <c r="L48" s="42"/>
    </row>
    <row r="49" spans="1:12" s="45" customFormat="1" ht="6" customHeight="1">
      <c r="A49" s="41"/>
      <c r="B49" s="42"/>
      <c r="C49" s="42"/>
      <c r="D49" s="46"/>
      <c r="E49" s="47"/>
      <c r="F49" s="42"/>
      <c r="G49" s="42"/>
      <c r="H49" s="42"/>
      <c r="I49" s="42"/>
      <c r="J49" s="42"/>
      <c r="K49" s="42"/>
      <c r="L49" s="42"/>
    </row>
    <row r="50" spans="1:12" s="45" customFormat="1" ht="12.75">
      <c r="A50" s="41" t="s">
        <v>70</v>
      </c>
      <c r="B50" s="42"/>
      <c r="C50" s="42" t="s">
        <v>71</v>
      </c>
      <c r="D50" s="46"/>
      <c r="E50" s="47"/>
      <c r="F50" s="42"/>
      <c r="G50" s="42"/>
      <c r="H50" s="42"/>
      <c r="I50" s="42"/>
      <c r="J50" s="42"/>
      <c r="K50" s="42"/>
      <c r="L50" s="42"/>
    </row>
    <row r="51" spans="1:12" s="45" customFormat="1" ht="12.75">
      <c r="A51" s="48"/>
      <c r="B51" s="42"/>
      <c r="C51" s="42" t="s">
        <v>72</v>
      </c>
      <c r="D51" s="46"/>
      <c r="E51" s="47"/>
      <c r="F51" s="42"/>
      <c r="G51" s="42"/>
      <c r="H51" s="42"/>
      <c r="I51" s="42"/>
      <c r="J51" s="42"/>
      <c r="K51" s="42"/>
      <c r="L51" s="42"/>
    </row>
    <row r="52" spans="1:12" s="45" customFormat="1" ht="6" customHeight="1">
      <c r="A52" s="49"/>
      <c r="B52" s="50"/>
      <c r="C52" s="50"/>
      <c r="D52" s="50"/>
      <c r="E52" s="51"/>
      <c r="F52" s="50"/>
      <c r="G52" s="50"/>
      <c r="H52" s="50"/>
      <c r="I52" s="50"/>
      <c r="J52" s="50"/>
      <c r="K52" s="50"/>
      <c r="L52" s="50"/>
    </row>
    <row r="53" spans="1:12" s="45" customFormat="1" ht="12.75">
      <c r="A53" s="41" t="s">
        <v>47</v>
      </c>
      <c r="B53" s="42"/>
      <c r="C53" s="42" t="s">
        <v>57</v>
      </c>
      <c r="D53" s="46"/>
      <c r="E53" s="47"/>
      <c r="F53" s="42"/>
      <c r="G53" s="42"/>
      <c r="H53" s="42"/>
      <c r="I53" s="42"/>
      <c r="J53" s="42"/>
      <c r="K53" s="42"/>
      <c r="L53" s="46"/>
    </row>
    <row r="54" spans="1:12" s="45" customFormat="1" ht="12.75">
      <c r="A54" s="48"/>
      <c r="B54" s="42"/>
      <c r="C54" s="42" t="s">
        <v>58</v>
      </c>
      <c r="D54" s="46"/>
      <c r="E54" s="47"/>
      <c r="F54" s="42"/>
      <c r="G54" s="42"/>
      <c r="H54" s="42"/>
      <c r="I54" s="42"/>
      <c r="J54" s="42"/>
      <c r="K54" s="42"/>
      <c r="L54" s="46"/>
    </row>
    <row r="55" spans="1:12" s="45" customFormat="1" ht="12.75">
      <c r="A55" s="48"/>
      <c r="B55" s="42"/>
      <c r="C55" s="42" t="s">
        <v>59</v>
      </c>
      <c r="D55" s="46"/>
      <c r="E55" s="47"/>
      <c r="F55" s="42"/>
      <c r="G55" s="42"/>
      <c r="H55" s="42"/>
      <c r="I55" s="42"/>
      <c r="J55" s="42"/>
      <c r="K55" s="42"/>
      <c r="L55" s="46"/>
    </row>
    <row r="56" spans="1:11" ht="12.75">
      <c r="A56" s="28"/>
      <c r="B56" s="26"/>
      <c r="C56" s="26"/>
      <c r="E56" s="27"/>
      <c r="F56" s="26"/>
      <c r="G56" s="26"/>
      <c r="H56" s="26"/>
      <c r="I56" s="26"/>
      <c r="J56" s="26"/>
      <c r="K56" s="26"/>
    </row>
    <row r="57" spans="1:12" ht="12.75">
      <c r="A57" s="81" t="s">
        <v>31</v>
      </c>
      <c r="B57" s="82"/>
      <c r="C57" s="82"/>
      <c r="D57" s="82"/>
      <c r="E57" s="82"/>
      <c r="F57" s="82"/>
      <c r="G57" s="82"/>
      <c r="H57" s="82"/>
      <c r="I57" s="82"/>
      <c r="J57" s="82"/>
      <c r="K57" s="82"/>
      <c r="L57" s="88"/>
    </row>
    <row r="58" ht="12.75">
      <c r="A58" s="24"/>
    </row>
    <row r="59" spans="1:12" ht="13.5">
      <c r="A59" s="32"/>
      <c r="F59" s="10" t="s">
        <v>9</v>
      </c>
      <c r="G59" s="33"/>
      <c r="H59" s="10" t="s">
        <v>73</v>
      </c>
      <c r="I59" s="10" t="s">
        <v>10</v>
      </c>
      <c r="J59" s="53" t="s">
        <v>74</v>
      </c>
      <c r="K59" s="10" t="s">
        <v>45</v>
      </c>
      <c r="L59" s="34"/>
    </row>
    <row r="60" spans="1:12" ht="12.75">
      <c r="A60" s="35"/>
      <c r="F60" s="8" t="s">
        <v>17</v>
      </c>
      <c r="G60" s="36"/>
      <c r="H60" s="8" t="s">
        <v>18</v>
      </c>
      <c r="I60" s="8" t="s">
        <v>19</v>
      </c>
      <c r="J60" s="54" t="s">
        <v>75</v>
      </c>
      <c r="K60" s="8" t="s">
        <v>46</v>
      </c>
      <c r="L60" s="34"/>
    </row>
    <row r="61" spans="2:12" ht="12.75">
      <c r="B61" s="37" t="s">
        <v>50</v>
      </c>
      <c r="C61" s="37"/>
      <c r="D61" s="26"/>
      <c r="E61" s="27"/>
      <c r="F61" s="38">
        <v>0.34</v>
      </c>
      <c r="G61" s="26"/>
      <c r="H61" s="38">
        <v>0.42</v>
      </c>
      <c r="I61" s="38">
        <v>0.1</v>
      </c>
      <c r="J61" s="38">
        <v>0.1</v>
      </c>
      <c r="K61" s="38">
        <v>0.04</v>
      </c>
      <c r="L61" s="39"/>
    </row>
    <row r="62" spans="2:12" ht="12.75">
      <c r="B62" s="37" t="s">
        <v>51</v>
      </c>
      <c r="C62" s="37"/>
      <c r="D62" s="26"/>
      <c r="E62" s="27"/>
      <c r="F62" s="38">
        <v>0.38</v>
      </c>
      <c r="G62" s="26"/>
      <c r="H62" s="38">
        <v>0.42</v>
      </c>
      <c r="I62" s="38">
        <v>0.1</v>
      </c>
      <c r="J62" s="38">
        <v>0.1</v>
      </c>
      <c r="K62" s="38">
        <v>0</v>
      </c>
      <c r="L62" s="39"/>
    </row>
    <row r="63" spans="1:12" s="23" customFormat="1" ht="12.75">
      <c r="A63" s="3"/>
      <c r="B63" s="37" t="s">
        <v>48</v>
      </c>
      <c r="C63" s="37"/>
      <c r="D63" s="26"/>
      <c r="E63" s="27"/>
      <c r="F63" s="38">
        <v>0.4</v>
      </c>
      <c r="G63" s="26"/>
      <c r="H63" s="38">
        <v>0.42</v>
      </c>
      <c r="I63" s="38">
        <v>0.08</v>
      </c>
      <c r="J63" s="38">
        <v>0.1</v>
      </c>
      <c r="K63" s="38">
        <v>0</v>
      </c>
      <c r="L63" s="39"/>
    </row>
    <row r="64" ht="12.75">
      <c r="A64" s="24"/>
    </row>
    <row r="65" spans="1:12" ht="12.75">
      <c r="A65" s="84" t="s">
        <v>39</v>
      </c>
      <c r="B65" s="85"/>
      <c r="C65" s="85"/>
      <c r="D65" s="85"/>
      <c r="E65" s="85"/>
      <c r="F65" s="85"/>
      <c r="G65" s="85"/>
      <c r="H65" s="85"/>
      <c r="I65" s="85"/>
      <c r="J65" s="85"/>
      <c r="K65" s="85"/>
      <c r="L65" s="89"/>
    </row>
    <row r="66" spans="1:5" ht="12.75">
      <c r="A66" s="24"/>
      <c r="D66"/>
      <c r="E66" s="16"/>
    </row>
    <row r="67" spans="1:12" ht="52.5" customHeight="1">
      <c r="A67" s="87" t="s">
        <v>54</v>
      </c>
      <c r="B67" s="87"/>
      <c r="C67" s="87"/>
      <c r="D67" s="87"/>
      <c r="E67" s="87"/>
      <c r="F67" s="87"/>
      <c r="G67" s="87"/>
      <c r="H67" s="87"/>
      <c r="I67" s="87"/>
      <c r="J67" s="87"/>
      <c r="K67" s="87"/>
      <c r="L67" s="87"/>
    </row>
    <row r="68" spans="1:5" ht="12.75">
      <c r="A68" s="16"/>
      <c r="D68"/>
      <c r="E68" s="16"/>
    </row>
    <row r="69" spans="2:4" ht="12.75">
      <c r="B69" s="24" t="s">
        <v>40</v>
      </c>
      <c r="C69" s="24"/>
      <c r="D69" s="16">
        <v>195861</v>
      </c>
    </row>
    <row r="70" spans="2:4" ht="12.75">
      <c r="B70" s="24" t="s">
        <v>41</v>
      </c>
      <c r="C70" s="24"/>
      <c r="D70" s="16">
        <v>331125</v>
      </c>
    </row>
    <row r="71" spans="2:4" ht="12.75">
      <c r="B71" s="16" t="s">
        <v>42</v>
      </c>
      <c r="D71" s="16">
        <v>366851</v>
      </c>
    </row>
    <row r="72" ht="12.75">
      <c r="D72" s="16" t="s">
        <v>36</v>
      </c>
    </row>
    <row r="74" ht="12.75">
      <c r="A74" s="24" t="s">
        <v>37</v>
      </c>
    </row>
  </sheetData>
  <sheetProtection/>
  <mergeCells count="11">
    <mergeCell ref="A1:L1"/>
    <mergeCell ref="A2:L2"/>
    <mergeCell ref="A3:L3"/>
    <mergeCell ref="A5:L5"/>
    <mergeCell ref="A4:L4"/>
    <mergeCell ref="A65:L65"/>
    <mergeCell ref="A67:L67"/>
    <mergeCell ref="A31:L31"/>
    <mergeCell ref="A57:L57"/>
    <mergeCell ref="H10:L10"/>
    <mergeCell ref="A8:L8"/>
  </mergeCells>
  <hyperlinks>
    <hyperlink ref="A4" r:id="rId1" display="www.vernondowns.com"/>
  </hyperlinks>
  <printOptions horizontalCentered="1"/>
  <pageMargins left="0.25" right="0.25" top="0.75" bottom="0.5" header="0.5" footer="0.5"/>
  <pageSetup fitToHeight="1" fitToWidth="1" horizontalDpi="600" verticalDpi="600" orientation="portrait" scale="74" r:id="rId3"/>
  <drawing r:id="rId2"/>
</worksheet>
</file>

<file path=xl/worksheets/sheet16.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A28" sqref="A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2" width="13.421875" style="16" customWidth="1"/>
    <col min="13" max="13" width="12.7109375" style="0" customWidth="1"/>
  </cols>
  <sheetData>
    <row r="1" spans="1:12" ht="18">
      <c r="A1" s="77" t="s">
        <v>52</v>
      </c>
      <c r="B1" s="77"/>
      <c r="C1" s="77"/>
      <c r="D1" s="77"/>
      <c r="E1" s="77"/>
      <c r="F1" s="77"/>
      <c r="G1" s="77"/>
      <c r="H1" s="77"/>
      <c r="I1" s="77"/>
      <c r="J1" s="77"/>
      <c r="K1" s="77"/>
      <c r="L1" s="77"/>
    </row>
    <row r="2" spans="1:12" ht="15">
      <c r="A2" s="78" t="s">
        <v>0</v>
      </c>
      <c r="B2" s="78"/>
      <c r="C2" s="78"/>
      <c r="D2" s="78"/>
      <c r="E2" s="78"/>
      <c r="F2" s="78"/>
      <c r="G2" s="78"/>
      <c r="H2" s="78"/>
      <c r="I2" s="78"/>
      <c r="J2" s="78"/>
      <c r="K2" s="78"/>
      <c r="L2" s="78"/>
    </row>
    <row r="3" spans="1:12" s="1" customFormat="1" ht="15">
      <c r="A3" s="78" t="s">
        <v>1</v>
      </c>
      <c r="B3" s="78"/>
      <c r="C3" s="78"/>
      <c r="D3" s="78"/>
      <c r="E3" s="78"/>
      <c r="F3" s="78"/>
      <c r="G3" s="78"/>
      <c r="H3" s="78"/>
      <c r="I3" s="78"/>
      <c r="J3" s="78"/>
      <c r="K3" s="78"/>
      <c r="L3" s="78"/>
    </row>
    <row r="4" spans="1:12" s="1" customFormat="1" ht="14.25" customHeight="1">
      <c r="A4" s="79" t="s">
        <v>2</v>
      </c>
      <c r="B4" s="79"/>
      <c r="C4" s="79"/>
      <c r="D4" s="79"/>
      <c r="E4" s="79"/>
      <c r="F4" s="79"/>
      <c r="G4" s="79"/>
      <c r="H4" s="79"/>
      <c r="I4" s="79"/>
      <c r="J4" s="79"/>
      <c r="K4" s="79"/>
      <c r="L4" s="79"/>
    </row>
    <row r="5" spans="1:12" s="1" customFormat="1" ht="14.25">
      <c r="A5" s="80" t="s">
        <v>3</v>
      </c>
      <c r="B5" s="80"/>
      <c r="C5" s="80"/>
      <c r="D5" s="80"/>
      <c r="E5" s="80"/>
      <c r="F5" s="80"/>
      <c r="G5" s="80"/>
      <c r="H5" s="80"/>
      <c r="I5" s="80"/>
      <c r="J5" s="80"/>
      <c r="K5" s="80"/>
      <c r="L5" s="80"/>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81" t="s">
        <v>44</v>
      </c>
      <c r="B8" s="82"/>
      <c r="C8" s="82"/>
      <c r="D8" s="82"/>
      <c r="E8" s="82"/>
      <c r="F8" s="82"/>
      <c r="G8" s="82"/>
      <c r="H8" s="82"/>
      <c r="I8" s="82"/>
      <c r="J8" s="82"/>
      <c r="K8" s="82"/>
      <c r="L8" s="88"/>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83" t="s">
        <v>5</v>
      </c>
      <c r="I10" s="83"/>
      <c r="J10" s="83"/>
      <c r="K10" s="83"/>
      <c r="L10" s="83"/>
    </row>
    <row r="11" spans="1:12" s="1" customFormat="1" ht="7.5" customHeight="1">
      <c r="A11" s="3"/>
      <c r="B11" s="5"/>
      <c r="C11" s="5"/>
      <c r="D11" s="5"/>
      <c r="E11" s="6"/>
      <c r="F11" s="5"/>
      <c r="G11" s="5"/>
      <c r="H11" s="5"/>
      <c r="I11" s="5"/>
      <c r="J11" s="5"/>
      <c r="K11" s="5"/>
      <c r="L11" s="5"/>
    </row>
    <row r="12" spans="1:12" s="12" customFormat="1" ht="12">
      <c r="A12" s="9"/>
      <c r="B12" s="10" t="s">
        <v>6</v>
      </c>
      <c r="C12" s="10" t="s">
        <v>6</v>
      </c>
      <c r="D12" s="10"/>
      <c r="E12" s="11" t="s">
        <v>7</v>
      </c>
      <c r="F12" s="10" t="s">
        <v>8</v>
      </c>
      <c r="G12" s="10"/>
      <c r="H12" s="10" t="s">
        <v>9</v>
      </c>
      <c r="I12" s="10" t="s">
        <v>73</v>
      </c>
      <c r="J12" s="10" t="s">
        <v>10</v>
      </c>
      <c r="K12" s="10" t="s">
        <v>74</v>
      </c>
      <c r="L12" s="10" t="s">
        <v>45</v>
      </c>
    </row>
    <row r="13" spans="1:12" s="12" customFormat="1" ht="12">
      <c r="A13" s="13" t="s">
        <v>11</v>
      </c>
      <c r="B13" s="8" t="s">
        <v>12</v>
      </c>
      <c r="C13" s="8" t="s">
        <v>13</v>
      </c>
      <c r="D13" s="8" t="s">
        <v>14</v>
      </c>
      <c r="E13" s="14" t="s">
        <v>15</v>
      </c>
      <c r="F13" s="8" t="s">
        <v>16</v>
      </c>
      <c r="G13" s="15"/>
      <c r="H13" s="8" t="s">
        <v>17</v>
      </c>
      <c r="I13" s="8" t="s">
        <v>18</v>
      </c>
      <c r="J13" s="8" t="s">
        <v>19</v>
      </c>
      <c r="K13" s="8" t="s">
        <v>75</v>
      </c>
      <c r="L13" s="8" t="s">
        <v>46</v>
      </c>
    </row>
    <row r="15" spans="1:12" ht="12.75">
      <c r="A15" s="3">
        <v>39539</v>
      </c>
      <c r="B15" s="16">
        <v>34673391.05</v>
      </c>
      <c r="C15" s="16">
        <f aca="true" t="shared" si="0" ref="C15:C26">B15-D15</f>
        <v>31460902.429999996</v>
      </c>
      <c r="D15" s="16">
        <v>3212488.62</v>
      </c>
      <c r="E15" s="17">
        <v>761</v>
      </c>
      <c r="F15" s="16">
        <f>D15/E15/30</f>
        <v>140.71347437582128</v>
      </c>
      <c r="H15" s="16">
        <v>1092246.16</v>
      </c>
      <c r="I15" s="16">
        <v>1349245.21</v>
      </c>
      <c r="J15" s="16">
        <v>321248.87</v>
      </c>
      <c r="K15" s="16">
        <v>321248.87</v>
      </c>
      <c r="L15" s="16">
        <v>128499.55</v>
      </c>
    </row>
    <row r="16" spans="1:12" ht="12.75">
      <c r="A16" s="3">
        <v>39569</v>
      </c>
      <c r="B16" s="16">
        <v>38391769.2</v>
      </c>
      <c r="C16" s="16">
        <f t="shared" si="0"/>
        <v>34980171.300000004</v>
      </c>
      <c r="D16" s="16">
        <v>3411597.9</v>
      </c>
      <c r="E16" s="17">
        <v>761</v>
      </c>
      <c r="F16" s="16">
        <f>D16/E16/31</f>
        <v>144.61438260353523</v>
      </c>
      <c r="H16" s="16">
        <v>1159943.32</v>
      </c>
      <c r="I16" s="16">
        <v>1432871.11</v>
      </c>
      <c r="J16" s="16">
        <v>341159.83</v>
      </c>
      <c r="K16" s="16">
        <v>341159.83</v>
      </c>
      <c r="L16" s="16">
        <v>136463.94</v>
      </c>
    </row>
    <row r="17" spans="1:12" ht="12.75">
      <c r="A17" s="3">
        <v>39600</v>
      </c>
      <c r="B17" s="16">
        <v>35688600.6</v>
      </c>
      <c r="C17" s="16">
        <f t="shared" si="0"/>
        <v>32462798.970000003</v>
      </c>
      <c r="D17" s="16">
        <v>3225801.63</v>
      </c>
      <c r="E17" s="17">
        <v>761</v>
      </c>
      <c r="F17" s="16">
        <f>D17/E17/30</f>
        <v>141.29661103810773</v>
      </c>
      <c r="H17" s="16">
        <v>1096772.6</v>
      </c>
      <c r="I17" s="16">
        <v>1354836.69</v>
      </c>
      <c r="J17" s="16">
        <v>322580.15</v>
      </c>
      <c r="K17" s="16">
        <v>322580.15</v>
      </c>
      <c r="L17" s="16">
        <v>129032.07</v>
      </c>
    </row>
    <row r="18" spans="1:12" ht="12.75">
      <c r="A18" s="3">
        <v>39630</v>
      </c>
      <c r="B18" s="16">
        <v>40629393.02</v>
      </c>
      <c r="C18" s="16">
        <f t="shared" si="0"/>
        <v>37006706.61</v>
      </c>
      <c r="D18" s="16">
        <v>3622686.41</v>
      </c>
      <c r="E18" s="17">
        <v>761</v>
      </c>
      <c r="F18" s="16">
        <f>D18/E18/31</f>
        <v>153.56222330549787</v>
      </c>
      <c r="H18" s="16">
        <v>1231713.38</v>
      </c>
      <c r="I18" s="16">
        <v>1521528.26</v>
      </c>
      <c r="J18" s="16">
        <v>362268.66</v>
      </c>
      <c r="K18" s="16">
        <v>362268.66</v>
      </c>
      <c r="L18" s="16">
        <v>144907.48</v>
      </c>
    </row>
    <row r="19" spans="1:12" ht="12.75">
      <c r="A19" s="3">
        <v>39661</v>
      </c>
      <c r="B19" s="16">
        <v>40516267.11</v>
      </c>
      <c r="C19" s="16">
        <f t="shared" si="0"/>
        <v>36860949.11</v>
      </c>
      <c r="D19" s="16">
        <v>3655318</v>
      </c>
      <c r="E19" s="17">
        <v>761</v>
      </c>
      <c r="F19" s="16">
        <f>D19/E19/31</f>
        <v>154.94544529693525</v>
      </c>
      <c r="H19" s="16">
        <v>1242808.16</v>
      </c>
      <c r="I19" s="16">
        <v>1535233.59</v>
      </c>
      <c r="J19" s="16">
        <v>365531.81</v>
      </c>
      <c r="K19" s="16">
        <v>365531.81</v>
      </c>
      <c r="L19" s="16">
        <v>146212.71</v>
      </c>
    </row>
    <row r="20" spans="1:12" ht="12.75">
      <c r="A20" s="3">
        <v>39692</v>
      </c>
      <c r="B20" s="16">
        <v>35605503.06</v>
      </c>
      <c r="C20" s="16">
        <f t="shared" si="0"/>
        <v>32328456.450000003</v>
      </c>
      <c r="D20" s="16">
        <v>3277046.61</v>
      </c>
      <c r="E20" s="17">
        <v>761</v>
      </c>
      <c r="F20" s="16">
        <f>D20/E20/30</f>
        <v>143.54124441524309</v>
      </c>
      <c r="H20" s="16">
        <v>1114195.9</v>
      </c>
      <c r="I20" s="16">
        <v>1376359.6</v>
      </c>
      <c r="J20" s="16">
        <v>327704.7</v>
      </c>
      <c r="K20" s="16">
        <v>327704.7</v>
      </c>
      <c r="L20" s="16">
        <v>131081.86</v>
      </c>
    </row>
    <row r="21" spans="1:12" ht="12.75">
      <c r="A21" s="3">
        <v>39722</v>
      </c>
      <c r="B21" s="16">
        <v>36033238.87</v>
      </c>
      <c r="C21" s="16">
        <f t="shared" si="0"/>
        <v>32767278.47</v>
      </c>
      <c r="D21" s="16">
        <v>3265960.4</v>
      </c>
      <c r="E21" s="17">
        <v>761</v>
      </c>
      <c r="F21" s="16">
        <f>D21/E21/31</f>
        <v>138.44094781908356</v>
      </c>
      <c r="H21" s="16">
        <v>1110426.56</v>
      </c>
      <c r="I21" s="16">
        <v>1371703.36</v>
      </c>
      <c r="J21" s="16">
        <v>326596.06</v>
      </c>
      <c r="K21" s="16">
        <v>326596.06</v>
      </c>
      <c r="L21" s="16">
        <v>130638.4</v>
      </c>
    </row>
    <row r="22" spans="1:12" ht="12.75">
      <c r="A22" s="3">
        <v>39753</v>
      </c>
      <c r="B22" s="16">
        <v>31099328.21</v>
      </c>
      <c r="C22" s="16">
        <f t="shared" si="0"/>
        <v>28276044.69</v>
      </c>
      <c r="D22" s="16">
        <v>2823283.52</v>
      </c>
      <c r="E22" s="17">
        <v>761</v>
      </c>
      <c r="F22" s="16">
        <f>D22/E22/30</f>
        <v>123.6655067893123</v>
      </c>
      <c r="H22" s="16">
        <v>959916.41</v>
      </c>
      <c r="I22" s="16">
        <v>1185779.08</v>
      </c>
      <c r="J22" s="16">
        <v>282328.39</v>
      </c>
      <c r="K22" s="16">
        <v>282328.39</v>
      </c>
      <c r="L22" s="16">
        <v>112931.35</v>
      </c>
    </row>
    <row r="23" spans="1:12" ht="12.75">
      <c r="A23" s="3">
        <v>39783</v>
      </c>
      <c r="B23" s="16">
        <v>25943466.11</v>
      </c>
      <c r="C23" s="16">
        <f t="shared" si="0"/>
        <v>23634935.21</v>
      </c>
      <c r="D23" s="16">
        <v>2308530.9</v>
      </c>
      <c r="E23" s="17">
        <v>761</v>
      </c>
      <c r="F23" s="16">
        <f>D23/E23/31</f>
        <v>97.85642406002289</v>
      </c>
      <c r="H23" s="16">
        <v>784900.59</v>
      </c>
      <c r="I23" s="16">
        <v>969582.99</v>
      </c>
      <c r="J23" s="16">
        <v>230853.11</v>
      </c>
      <c r="K23" s="16">
        <v>230853.11</v>
      </c>
      <c r="L23" s="16">
        <v>92341.21</v>
      </c>
    </row>
    <row r="24" spans="1:12" ht="12.75">
      <c r="A24" s="3">
        <v>39814</v>
      </c>
      <c r="B24" s="16">
        <v>27983275.68</v>
      </c>
      <c r="C24" s="16">
        <f t="shared" si="0"/>
        <v>25516421.68</v>
      </c>
      <c r="D24" s="16">
        <v>2466854</v>
      </c>
      <c r="E24" s="17">
        <v>761</v>
      </c>
      <c r="F24" s="16">
        <f>D24/E24/31</f>
        <v>104.56758933491585</v>
      </c>
      <c r="H24" s="16">
        <v>838730.38</v>
      </c>
      <c r="I24" s="16">
        <v>1036078.72</v>
      </c>
      <c r="J24" s="16">
        <v>246685.42</v>
      </c>
      <c r="K24" s="16">
        <v>246685.42</v>
      </c>
      <c r="L24" s="16">
        <v>98674.15</v>
      </c>
    </row>
    <row r="25" spans="1:12" ht="12.75">
      <c r="A25" s="3">
        <v>39845</v>
      </c>
      <c r="B25" s="16">
        <v>31077258.2</v>
      </c>
      <c r="C25" s="16">
        <f t="shared" si="0"/>
        <v>28282458.38</v>
      </c>
      <c r="D25" s="16">
        <v>2794799.82</v>
      </c>
      <c r="E25" s="17">
        <v>761</v>
      </c>
      <c r="F25" s="16">
        <f>D25/E25/28</f>
        <v>131.1619964332645</v>
      </c>
      <c r="H25" s="16">
        <v>950232.01</v>
      </c>
      <c r="I25" s="16">
        <v>1173815.94</v>
      </c>
      <c r="J25" s="16">
        <v>279480.01</v>
      </c>
      <c r="K25" s="16">
        <v>279480.01</v>
      </c>
      <c r="L25" s="16">
        <v>111791.98</v>
      </c>
    </row>
    <row r="26" spans="1:12" ht="12.75">
      <c r="A26" s="3">
        <v>39873</v>
      </c>
      <c r="B26" s="16">
        <v>33721763.78</v>
      </c>
      <c r="C26" s="16">
        <f t="shared" si="0"/>
        <v>30644905.66</v>
      </c>
      <c r="D26" s="16">
        <v>3076858.12</v>
      </c>
      <c r="E26" s="17">
        <v>761</v>
      </c>
      <c r="F26" s="16">
        <f>D26/E26/31</f>
        <v>130.42508244669577</v>
      </c>
      <c r="H26" s="16">
        <v>1046131.79</v>
      </c>
      <c r="I26" s="16">
        <v>1292280.42</v>
      </c>
      <c r="J26" s="16">
        <v>307685.82</v>
      </c>
      <c r="K26" s="16">
        <v>307685.82</v>
      </c>
      <c r="L26" s="16">
        <v>123074.35</v>
      </c>
    </row>
    <row r="27" spans="1:12" ht="13.5" thickBot="1">
      <c r="A27" s="3" t="s">
        <v>20</v>
      </c>
      <c r="B27" s="18">
        <f>SUM(B15:B26)</f>
        <v>411363254.89</v>
      </c>
      <c r="C27" s="18">
        <f>SUM(C15:C26)</f>
        <v>374222028.96000004</v>
      </c>
      <c r="D27" s="18">
        <f>SUM(D15:D26)</f>
        <v>37141225.92999999</v>
      </c>
      <c r="H27" s="18">
        <f>SUM(H15:H26)</f>
        <v>12628017.260000002</v>
      </c>
      <c r="I27" s="18">
        <f>SUM(I15:I26)</f>
        <v>15599314.97</v>
      </c>
      <c r="J27" s="18">
        <f>SUM(J15:J26)</f>
        <v>3714122.8299999996</v>
      </c>
      <c r="K27" s="18">
        <f>SUM(K15:K26)</f>
        <v>3714122.8299999996</v>
      </c>
      <c r="L27" s="18">
        <f>SUM(L15:L26)</f>
        <v>1485649.05</v>
      </c>
    </row>
    <row r="28" spans="2:12" ht="10.5" customHeight="1" thickTop="1">
      <c r="B28" s="19"/>
      <c r="C28" s="19"/>
      <c r="D28" s="19"/>
      <c r="H28" s="19"/>
      <c r="I28" s="19"/>
      <c r="J28" s="19"/>
      <c r="K28" s="19"/>
      <c r="L28" s="19"/>
    </row>
    <row r="29" spans="1:12" s="22" customFormat="1" ht="12.75">
      <c r="A29" s="20"/>
      <c r="B29" s="21"/>
      <c r="C29" s="21">
        <f>C27/B27</f>
        <v>0.9097118532380059</v>
      </c>
      <c r="D29" s="21">
        <f>D27/B27</f>
        <v>0.09028814676199431</v>
      </c>
      <c r="H29" s="21">
        <f>H27/$D$27</f>
        <v>0.34000001194898644</v>
      </c>
      <c r="I29" s="21">
        <f>I27/$D$27</f>
        <v>0.4200000021377863</v>
      </c>
      <c r="J29" s="21">
        <f>J27/$D$27</f>
        <v>0.10000000638104949</v>
      </c>
      <c r="K29" s="21">
        <f>K27/$D$27</f>
        <v>0.10000000638104949</v>
      </c>
      <c r="L29" s="21">
        <f>L27/$D$27</f>
        <v>0.040000000344630526</v>
      </c>
    </row>
    <row r="31" spans="1:12" s="23" customFormat="1" ht="12.75">
      <c r="A31" s="81" t="s">
        <v>21</v>
      </c>
      <c r="B31" s="82"/>
      <c r="C31" s="82"/>
      <c r="D31" s="82"/>
      <c r="E31" s="82"/>
      <c r="F31" s="82"/>
      <c r="G31" s="82"/>
      <c r="H31" s="82"/>
      <c r="I31" s="82"/>
      <c r="J31" s="82"/>
      <c r="K31" s="82"/>
      <c r="L31" s="88"/>
    </row>
    <row r="32" ht="12.75">
      <c r="A32" s="24"/>
    </row>
    <row r="33" spans="1:12" s="45" customFormat="1" ht="12.75" customHeight="1">
      <c r="A33" s="41" t="s">
        <v>22</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2" s="45" customFormat="1" ht="6.75" customHeight="1">
      <c r="A35" s="41"/>
      <c r="B35" s="42"/>
      <c r="C35" s="43"/>
      <c r="D35" s="44"/>
      <c r="E35" s="44"/>
      <c r="F35" s="44"/>
      <c r="G35" s="44"/>
      <c r="H35" s="44"/>
      <c r="I35" s="44"/>
      <c r="J35" s="44"/>
      <c r="K35" s="44"/>
      <c r="L35" s="44"/>
    </row>
    <row r="36" spans="1:12" ht="12.75">
      <c r="A36" s="25" t="s">
        <v>23</v>
      </c>
      <c r="B36" s="26"/>
      <c r="C36" s="26" t="s">
        <v>24</v>
      </c>
      <c r="E36" s="26"/>
      <c r="F36" s="26"/>
      <c r="G36" s="26"/>
      <c r="H36" s="26"/>
      <c r="I36" s="26"/>
      <c r="J36" s="26"/>
      <c r="K36" s="26"/>
      <c r="L36" s="26"/>
    </row>
    <row r="37" spans="1:12" ht="6" customHeight="1">
      <c r="A37" s="25"/>
      <c r="B37" s="26"/>
      <c r="C37" s="26"/>
      <c r="E37" s="26"/>
      <c r="F37" s="26"/>
      <c r="G37" s="26"/>
      <c r="H37" s="26"/>
      <c r="I37" s="26"/>
      <c r="J37" s="26"/>
      <c r="K37" s="26"/>
      <c r="L37" s="26"/>
    </row>
    <row r="38" spans="1:12" ht="12.75">
      <c r="A38" s="25" t="s">
        <v>25</v>
      </c>
      <c r="B38" s="26"/>
      <c r="C38" s="26" t="s">
        <v>26</v>
      </c>
      <c r="E38" s="27"/>
      <c r="F38" s="26"/>
      <c r="G38" s="26"/>
      <c r="H38" s="26"/>
      <c r="I38" s="26"/>
      <c r="J38" s="26"/>
      <c r="K38" s="26"/>
      <c r="L38"/>
    </row>
    <row r="39" spans="1:12" ht="12.75">
      <c r="A39" s="25"/>
      <c r="B39" s="26"/>
      <c r="C39" s="26" t="s">
        <v>27</v>
      </c>
      <c r="E39" s="27"/>
      <c r="F39" s="26"/>
      <c r="G39" s="26"/>
      <c r="H39" s="26"/>
      <c r="I39" s="26"/>
      <c r="J39" s="26"/>
      <c r="K39" s="26"/>
      <c r="L39"/>
    </row>
    <row r="40" spans="1:12" ht="6" customHeight="1">
      <c r="A40" s="25"/>
      <c r="B40" s="26"/>
      <c r="C40" s="26"/>
      <c r="E40" s="27"/>
      <c r="F40" s="26"/>
      <c r="G40" s="26"/>
      <c r="H40" s="26"/>
      <c r="I40" s="26"/>
      <c r="J40" s="26"/>
      <c r="K40" s="26"/>
      <c r="L40" s="26"/>
    </row>
    <row r="41" spans="1:12" ht="12.75">
      <c r="A41" s="25" t="s">
        <v>28</v>
      </c>
      <c r="B41" s="26"/>
      <c r="C41" s="26" t="s">
        <v>29</v>
      </c>
      <c r="E41" s="27"/>
      <c r="F41" s="26"/>
      <c r="G41" s="26"/>
      <c r="H41" s="26"/>
      <c r="I41" s="26"/>
      <c r="J41" s="26"/>
      <c r="K41" s="26"/>
      <c r="L41" s="26"/>
    </row>
    <row r="42" spans="1:12" ht="6" customHeight="1">
      <c r="A42" s="25"/>
      <c r="B42" s="26"/>
      <c r="C42" s="26"/>
      <c r="E42" s="27"/>
      <c r="F42" s="26"/>
      <c r="G42" s="26"/>
      <c r="H42" s="26"/>
      <c r="I42" s="26"/>
      <c r="J42" s="26"/>
      <c r="K42" s="26"/>
      <c r="L42" s="26"/>
    </row>
    <row r="43" spans="1:12" s="45" customFormat="1" ht="12.75">
      <c r="A43" s="41" t="s">
        <v>68</v>
      </c>
      <c r="B43" s="42"/>
      <c r="C43" s="42" t="s">
        <v>69</v>
      </c>
      <c r="D43" s="46"/>
      <c r="E43" s="47"/>
      <c r="F43" s="42"/>
      <c r="G43" s="42"/>
      <c r="H43" s="42"/>
      <c r="I43" s="42"/>
      <c r="J43" s="42"/>
      <c r="K43" s="42"/>
      <c r="L43" s="42"/>
    </row>
    <row r="44" spans="1:12" s="45" customFormat="1" ht="12.75">
      <c r="A44" s="41"/>
      <c r="B44" s="42"/>
      <c r="C44" s="42" t="s">
        <v>76</v>
      </c>
      <c r="D44" s="46"/>
      <c r="E44" s="47"/>
      <c r="F44" s="42"/>
      <c r="G44" s="42"/>
      <c r="H44" s="42"/>
      <c r="I44" s="42"/>
      <c r="J44" s="42"/>
      <c r="K44" s="42"/>
      <c r="L44" s="42"/>
    </row>
    <row r="45" spans="1:12" s="45" customFormat="1" ht="12.75">
      <c r="A45" s="41"/>
      <c r="B45" s="42"/>
      <c r="C45" s="42" t="s">
        <v>77</v>
      </c>
      <c r="D45" s="46"/>
      <c r="E45" s="47"/>
      <c r="F45" s="42"/>
      <c r="G45" s="42"/>
      <c r="H45" s="42"/>
      <c r="I45" s="42"/>
      <c r="J45" s="42"/>
      <c r="K45" s="42"/>
      <c r="L45" s="42"/>
    </row>
    <row r="46" spans="1:12" ht="6" customHeight="1">
      <c r="A46" s="25"/>
      <c r="B46" s="26"/>
      <c r="C46" s="26"/>
      <c r="E46" s="27"/>
      <c r="F46" s="26"/>
      <c r="G46" s="26"/>
      <c r="H46" s="26"/>
      <c r="I46" s="26"/>
      <c r="J46" s="26"/>
      <c r="K46" s="26"/>
      <c r="L46" s="26"/>
    </row>
    <row r="47" spans="1:12" s="45" customFormat="1" ht="12.75">
      <c r="A47" s="41" t="s">
        <v>30</v>
      </c>
      <c r="B47" s="42"/>
      <c r="C47" s="42" t="s">
        <v>66</v>
      </c>
      <c r="D47" s="46"/>
      <c r="E47" s="47"/>
      <c r="F47" s="42"/>
      <c r="G47" s="42"/>
      <c r="H47" s="42"/>
      <c r="I47" s="42"/>
      <c r="J47" s="42"/>
      <c r="K47" s="42"/>
      <c r="L47" s="42"/>
    </row>
    <row r="48" spans="1:12" s="45" customFormat="1" ht="12.75">
      <c r="A48" s="41"/>
      <c r="B48" s="42"/>
      <c r="C48" s="42" t="s">
        <v>67</v>
      </c>
      <c r="D48" s="46"/>
      <c r="E48" s="47"/>
      <c r="F48" s="42"/>
      <c r="G48" s="42"/>
      <c r="H48" s="42"/>
      <c r="I48" s="42"/>
      <c r="J48" s="42"/>
      <c r="K48" s="42"/>
      <c r="L48" s="42"/>
    </row>
    <row r="49" spans="1:12" ht="6" customHeight="1">
      <c r="A49" s="25"/>
      <c r="B49" s="26"/>
      <c r="C49" s="26"/>
      <c r="E49" s="27"/>
      <c r="F49" s="26"/>
      <c r="G49" s="26"/>
      <c r="H49" s="26"/>
      <c r="I49" s="26"/>
      <c r="J49" s="26"/>
      <c r="K49" s="26"/>
      <c r="L49" s="26"/>
    </row>
    <row r="50" spans="1:12" s="45" customFormat="1" ht="12.75">
      <c r="A50" s="41" t="s">
        <v>70</v>
      </c>
      <c r="B50" s="42"/>
      <c r="C50" s="42" t="s">
        <v>71</v>
      </c>
      <c r="D50" s="46"/>
      <c r="E50" s="47"/>
      <c r="F50" s="42"/>
      <c r="G50" s="42"/>
      <c r="H50" s="42"/>
      <c r="I50" s="42"/>
      <c r="J50" s="42"/>
      <c r="K50" s="42"/>
      <c r="L50" s="42"/>
    </row>
    <row r="51" spans="1:12" s="45" customFormat="1" ht="12.75">
      <c r="A51" s="48"/>
      <c r="B51" s="42"/>
      <c r="C51" s="42" t="s">
        <v>72</v>
      </c>
      <c r="D51" s="46"/>
      <c r="E51" s="47"/>
      <c r="F51" s="42"/>
      <c r="G51" s="42"/>
      <c r="H51" s="42"/>
      <c r="I51" s="42"/>
      <c r="J51" s="42"/>
      <c r="K51" s="42"/>
      <c r="L51" s="42"/>
    </row>
    <row r="52" spans="1:12" ht="6" customHeight="1">
      <c r="A52" s="29"/>
      <c r="B52" s="30"/>
      <c r="C52" s="30"/>
      <c r="D52" s="30"/>
      <c r="E52" s="31"/>
      <c r="F52" s="30"/>
      <c r="G52" s="30"/>
      <c r="H52" s="30"/>
      <c r="I52" s="30"/>
      <c r="J52" s="30"/>
      <c r="K52" s="30"/>
      <c r="L52" s="30"/>
    </row>
    <row r="53" spans="1:12" s="45" customFormat="1" ht="12.75">
      <c r="A53" s="41" t="s">
        <v>47</v>
      </c>
      <c r="B53" s="42"/>
      <c r="C53" s="42" t="s">
        <v>57</v>
      </c>
      <c r="D53" s="46"/>
      <c r="E53" s="47"/>
      <c r="F53" s="42"/>
      <c r="G53" s="42"/>
      <c r="H53" s="42"/>
      <c r="I53" s="42"/>
      <c r="J53" s="42"/>
      <c r="K53" s="42"/>
      <c r="L53" s="46"/>
    </row>
    <row r="54" spans="1:12" s="45" customFormat="1" ht="12.75">
      <c r="A54" s="48"/>
      <c r="B54" s="42"/>
      <c r="C54" s="42" t="s">
        <v>58</v>
      </c>
      <c r="D54" s="46"/>
      <c r="E54" s="47"/>
      <c r="F54" s="42"/>
      <c r="G54" s="42"/>
      <c r="H54" s="42"/>
      <c r="I54" s="42"/>
      <c r="J54" s="42"/>
      <c r="K54" s="42"/>
      <c r="L54" s="46"/>
    </row>
    <row r="55" spans="1:12" s="45" customFormat="1" ht="12.75">
      <c r="A55" s="48"/>
      <c r="B55" s="42"/>
      <c r="C55" s="42" t="s">
        <v>59</v>
      </c>
      <c r="D55" s="46"/>
      <c r="E55" s="47"/>
      <c r="F55" s="42"/>
      <c r="G55" s="42"/>
      <c r="H55" s="42"/>
      <c r="I55" s="42"/>
      <c r="J55" s="42"/>
      <c r="K55" s="42"/>
      <c r="L55" s="46"/>
    </row>
    <row r="56" spans="1:11" ht="12.75">
      <c r="A56" s="28"/>
      <c r="B56" s="26"/>
      <c r="C56" s="26"/>
      <c r="E56" s="27"/>
      <c r="F56" s="26"/>
      <c r="G56" s="26"/>
      <c r="H56" s="26"/>
      <c r="I56" s="26"/>
      <c r="J56" s="26"/>
      <c r="K56" s="26"/>
    </row>
    <row r="57" spans="1:12" ht="12.75">
      <c r="A57" s="81" t="s">
        <v>31</v>
      </c>
      <c r="B57" s="82"/>
      <c r="C57" s="82"/>
      <c r="D57" s="82"/>
      <c r="E57" s="82"/>
      <c r="F57" s="82"/>
      <c r="G57" s="82"/>
      <c r="H57" s="82"/>
      <c r="I57" s="82"/>
      <c r="J57" s="82"/>
      <c r="K57" s="82"/>
      <c r="L57" s="88"/>
    </row>
    <row r="58" ht="12.75">
      <c r="A58" s="24"/>
    </row>
    <row r="59" spans="1:12" ht="13.5">
      <c r="A59" s="32"/>
      <c r="F59" s="10" t="s">
        <v>9</v>
      </c>
      <c r="G59" s="33"/>
      <c r="H59" s="10" t="s">
        <v>73</v>
      </c>
      <c r="I59" s="10" t="s">
        <v>10</v>
      </c>
      <c r="J59" s="53" t="s">
        <v>74</v>
      </c>
      <c r="K59" s="10" t="s">
        <v>45</v>
      </c>
      <c r="L59" s="34"/>
    </row>
    <row r="60" spans="1:12" ht="12.75">
      <c r="A60" s="35"/>
      <c r="F60" s="8" t="s">
        <v>17</v>
      </c>
      <c r="G60" s="36"/>
      <c r="H60" s="8" t="s">
        <v>18</v>
      </c>
      <c r="I60" s="8" t="s">
        <v>19</v>
      </c>
      <c r="J60" s="54" t="s">
        <v>75</v>
      </c>
      <c r="K60" s="8" t="s">
        <v>46</v>
      </c>
      <c r="L60" s="34"/>
    </row>
    <row r="61" spans="2:12" ht="12.75">
      <c r="B61" s="37" t="s">
        <v>50</v>
      </c>
      <c r="C61" s="37"/>
      <c r="D61" s="26"/>
      <c r="E61" s="27"/>
      <c r="F61" s="38">
        <v>0.34</v>
      </c>
      <c r="G61" s="26"/>
      <c r="H61" s="38">
        <v>0.42</v>
      </c>
      <c r="I61" s="38">
        <v>0.1</v>
      </c>
      <c r="J61" s="38">
        <v>0.1</v>
      </c>
      <c r="K61" s="38">
        <v>0.04</v>
      </c>
      <c r="L61" s="39"/>
    </row>
    <row r="62" spans="2:12" ht="12.75">
      <c r="B62" s="37" t="s">
        <v>51</v>
      </c>
      <c r="C62" s="37"/>
      <c r="D62" s="26"/>
      <c r="E62" s="27"/>
      <c r="F62" s="38">
        <v>0.38</v>
      </c>
      <c r="G62" s="26"/>
      <c r="H62" s="38">
        <v>0.42</v>
      </c>
      <c r="I62" s="38">
        <v>0.1</v>
      </c>
      <c r="J62" s="38">
        <v>0.1</v>
      </c>
      <c r="K62" s="38">
        <v>0</v>
      </c>
      <c r="L62" s="39"/>
    </row>
    <row r="63" spans="1:12" s="23" customFormat="1" ht="12.75">
      <c r="A63" s="3"/>
      <c r="B63" s="37" t="s">
        <v>48</v>
      </c>
      <c r="C63" s="37"/>
      <c r="D63" s="26"/>
      <c r="E63" s="27"/>
      <c r="F63" s="38">
        <v>0.4</v>
      </c>
      <c r="G63" s="26"/>
      <c r="H63" s="38">
        <v>0.42</v>
      </c>
      <c r="I63" s="38">
        <v>0.08</v>
      </c>
      <c r="J63" s="38">
        <v>0.1</v>
      </c>
      <c r="K63" s="38">
        <v>0</v>
      </c>
      <c r="L63" s="39"/>
    </row>
    <row r="64" ht="12.75">
      <c r="A64" s="24"/>
    </row>
    <row r="65" spans="1:12" ht="12.75">
      <c r="A65" s="84" t="s">
        <v>39</v>
      </c>
      <c r="B65" s="85"/>
      <c r="C65" s="85"/>
      <c r="D65" s="85"/>
      <c r="E65" s="85"/>
      <c r="F65" s="85"/>
      <c r="G65" s="85"/>
      <c r="H65" s="85"/>
      <c r="I65" s="85"/>
      <c r="J65" s="85"/>
      <c r="K65" s="85"/>
      <c r="L65" s="89"/>
    </row>
    <row r="66" spans="1:5" ht="12.75">
      <c r="A66" s="24"/>
      <c r="D66"/>
      <c r="E66" s="16"/>
    </row>
    <row r="67" spans="1:12" ht="53.25" customHeight="1">
      <c r="A67" s="87" t="s">
        <v>49</v>
      </c>
      <c r="B67" s="87"/>
      <c r="C67" s="87"/>
      <c r="D67" s="87"/>
      <c r="E67" s="87"/>
      <c r="F67" s="87"/>
      <c r="G67" s="87"/>
      <c r="H67" s="87"/>
      <c r="I67" s="87"/>
      <c r="J67" s="87"/>
      <c r="K67" s="87"/>
      <c r="L67" s="87"/>
    </row>
    <row r="68" spans="1:5" ht="12.75">
      <c r="A68" s="16"/>
      <c r="D68"/>
      <c r="E68" s="16"/>
    </row>
    <row r="69" spans="2:4" ht="12.75">
      <c r="B69" s="24" t="s">
        <v>40</v>
      </c>
      <c r="C69" s="24"/>
      <c r="D69" s="16">
        <v>195861</v>
      </c>
    </row>
    <row r="70" spans="2:4" ht="12.75">
      <c r="B70" s="24" t="s">
        <v>41</v>
      </c>
      <c r="C70" s="24"/>
      <c r="D70" s="16">
        <v>331125</v>
      </c>
    </row>
    <row r="71" spans="2:4" ht="12.75">
      <c r="B71" s="16" t="s">
        <v>42</v>
      </c>
      <c r="D71" s="16">
        <v>366851</v>
      </c>
    </row>
    <row r="72" ht="12.75">
      <c r="D72" s="16" t="s">
        <v>36</v>
      </c>
    </row>
    <row r="74" ht="12.75">
      <c r="A74" s="24" t="s">
        <v>37</v>
      </c>
    </row>
  </sheetData>
  <sheetProtection/>
  <mergeCells count="11">
    <mergeCell ref="A65:L65"/>
    <mergeCell ref="A67:L67"/>
    <mergeCell ref="A31:L31"/>
    <mergeCell ref="A57:L57"/>
    <mergeCell ref="H10:L10"/>
    <mergeCell ref="A8:L8"/>
    <mergeCell ref="A1:L1"/>
    <mergeCell ref="A2:L2"/>
    <mergeCell ref="A3:L3"/>
    <mergeCell ref="A5:L5"/>
    <mergeCell ref="A4:L4"/>
  </mergeCells>
  <hyperlinks>
    <hyperlink ref="A4" r:id="rId1" display="www.vernondowns.com"/>
  </hyperlinks>
  <printOptions horizontalCentered="1"/>
  <pageMargins left="0.25" right="0.25" top="0.75" bottom="0.5" header="0.5" footer="0.5"/>
  <pageSetup fitToHeight="1" fitToWidth="1" horizontalDpi="600" verticalDpi="600" orientation="portrait" scale="75" r:id="rId3"/>
  <drawing r:id="rId2"/>
</worksheet>
</file>

<file path=xl/worksheets/sheet17.xml><?xml version="1.0" encoding="utf-8"?>
<worksheet xmlns="http://schemas.openxmlformats.org/spreadsheetml/2006/main" xmlns:r="http://schemas.openxmlformats.org/officeDocument/2006/relationships">
  <sheetPr>
    <pageSetUpPr fitToPage="1"/>
  </sheetPr>
  <dimension ref="A1:L71"/>
  <sheetViews>
    <sheetView zoomScalePageLayoutView="0" workbookViewId="0" topLeftCell="A1">
      <selection activeCell="A28" sqref="A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5.28125" style="16" customWidth="1"/>
    <col min="12" max="12" width="12.7109375" style="0" customWidth="1"/>
  </cols>
  <sheetData>
    <row r="1" spans="1:12" ht="18">
      <c r="A1" s="77" t="s">
        <v>52</v>
      </c>
      <c r="B1" s="77"/>
      <c r="C1" s="77"/>
      <c r="D1" s="77"/>
      <c r="E1" s="77"/>
      <c r="F1" s="77"/>
      <c r="G1" s="77"/>
      <c r="H1" s="77"/>
      <c r="I1" s="77"/>
      <c r="J1" s="77"/>
      <c r="K1" s="77"/>
      <c r="L1" s="40"/>
    </row>
    <row r="2" spans="1:11" ht="15">
      <c r="A2" s="78" t="s">
        <v>0</v>
      </c>
      <c r="B2" s="78"/>
      <c r="C2" s="78"/>
      <c r="D2" s="78"/>
      <c r="E2" s="78"/>
      <c r="F2" s="78"/>
      <c r="G2" s="78"/>
      <c r="H2" s="78"/>
      <c r="I2" s="78"/>
      <c r="J2" s="78"/>
      <c r="K2" s="78"/>
    </row>
    <row r="3" spans="1:11" s="1" customFormat="1" ht="15">
      <c r="A3" s="78" t="s">
        <v>1</v>
      </c>
      <c r="B3" s="78"/>
      <c r="C3" s="78"/>
      <c r="D3" s="78"/>
      <c r="E3" s="78"/>
      <c r="F3" s="78"/>
      <c r="G3" s="78"/>
      <c r="H3" s="78"/>
      <c r="I3" s="78"/>
      <c r="J3" s="78"/>
      <c r="K3" s="78"/>
    </row>
    <row r="4" spans="1:11" s="1" customFormat="1" ht="14.25" customHeight="1">
      <c r="A4" s="79" t="s">
        <v>2</v>
      </c>
      <c r="B4" s="79"/>
      <c r="C4" s="79"/>
      <c r="D4" s="79"/>
      <c r="E4" s="79"/>
      <c r="F4" s="79"/>
      <c r="G4" s="79"/>
      <c r="H4" s="79"/>
      <c r="I4" s="79"/>
      <c r="J4" s="79"/>
      <c r="K4" s="79"/>
    </row>
    <row r="5" spans="1:11" s="1" customFormat="1" ht="14.25">
      <c r="A5" s="80" t="s">
        <v>3</v>
      </c>
      <c r="B5" s="80"/>
      <c r="C5" s="80"/>
      <c r="D5" s="80"/>
      <c r="E5" s="80"/>
      <c r="F5" s="80"/>
      <c r="G5" s="80"/>
      <c r="H5" s="80"/>
      <c r="I5" s="80"/>
      <c r="J5" s="80"/>
      <c r="K5" s="80"/>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81" t="s">
        <v>38</v>
      </c>
      <c r="B8" s="82"/>
      <c r="C8" s="82"/>
      <c r="D8" s="82"/>
      <c r="E8" s="82"/>
      <c r="F8" s="82"/>
      <c r="G8" s="82"/>
      <c r="H8" s="82"/>
      <c r="I8" s="82"/>
      <c r="J8" s="82"/>
      <c r="K8" s="88"/>
    </row>
    <row r="9" spans="1:11" s="1" customFormat="1" ht="9" customHeight="1">
      <c r="A9" s="3"/>
      <c r="B9" s="4"/>
      <c r="C9" s="4"/>
      <c r="D9" s="5"/>
      <c r="E9" s="6"/>
      <c r="F9" s="5"/>
      <c r="G9" s="5"/>
      <c r="H9" s="5"/>
      <c r="I9" s="5"/>
      <c r="J9" s="5"/>
      <c r="K9" s="5"/>
    </row>
    <row r="10" spans="1:11" s="1" customFormat="1" ht="12.75">
      <c r="A10" s="3"/>
      <c r="B10" s="5"/>
      <c r="C10" s="5"/>
      <c r="D10" s="5"/>
      <c r="E10" s="6"/>
      <c r="F10" s="5"/>
      <c r="G10" s="5"/>
      <c r="H10" s="83" t="s">
        <v>5</v>
      </c>
      <c r="I10" s="83"/>
      <c r="J10" s="83"/>
      <c r="K10" s="83"/>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73</v>
      </c>
      <c r="J12" s="10" t="s">
        <v>10</v>
      </c>
      <c r="K12" s="10" t="s">
        <v>74</v>
      </c>
    </row>
    <row r="13" spans="1:11" s="12" customFormat="1" ht="12">
      <c r="A13" s="13" t="s">
        <v>11</v>
      </c>
      <c r="B13" s="8" t="s">
        <v>12</v>
      </c>
      <c r="C13" s="8" t="s">
        <v>13</v>
      </c>
      <c r="D13" s="8" t="s">
        <v>14</v>
      </c>
      <c r="E13" s="14" t="s">
        <v>15</v>
      </c>
      <c r="F13" s="8" t="s">
        <v>16</v>
      </c>
      <c r="G13" s="15"/>
      <c r="H13" s="8" t="s">
        <v>17</v>
      </c>
      <c r="I13" s="8" t="s">
        <v>18</v>
      </c>
      <c r="J13" s="8" t="s">
        <v>19</v>
      </c>
      <c r="K13" s="8" t="s">
        <v>75</v>
      </c>
    </row>
    <row r="15" spans="1:11" ht="12.75">
      <c r="A15" s="3">
        <v>39173</v>
      </c>
      <c r="B15" s="16">
        <v>28830934.64</v>
      </c>
      <c r="C15" s="16">
        <f aca="true" t="shared" si="0" ref="C15:C26">B15-D15</f>
        <v>26266319.080000002</v>
      </c>
      <c r="D15" s="16">
        <v>2564615.56</v>
      </c>
      <c r="E15" s="17">
        <f>23310/30</f>
        <v>777</v>
      </c>
      <c r="F15" s="16">
        <v>110.02211754611757</v>
      </c>
      <c r="H15" s="16">
        <v>1282307.85</v>
      </c>
      <c r="I15" s="16">
        <f aca="true" t="shared" si="1" ref="I15:I22">D15*0.32</f>
        <v>820676.9792000001</v>
      </c>
      <c r="J15" s="16">
        <f aca="true" t="shared" si="2" ref="J15:J22">D15*0.08</f>
        <v>205169.24480000001</v>
      </c>
      <c r="K15" s="16">
        <f aca="true" t="shared" si="3" ref="K15:K22">D15*0.1</f>
        <v>256461.556</v>
      </c>
    </row>
    <row r="16" spans="1:11" ht="12.75">
      <c r="A16" s="3">
        <v>39203</v>
      </c>
      <c r="B16" s="16">
        <v>30014987.440000005</v>
      </c>
      <c r="C16" s="16">
        <f t="shared" si="0"/>
        <v>27347192.340000004</v>
      </c>
      <c r="D16" s="16">
        <v>2667795.1</v>
      </c>
      <c r="E16" s="17">
        <f>23799/31</f>
        <v>767.7096774193549</v>
      </c>
      <c r="F16" s="16">
        <v>112.09694104794322</v>
      </c>
      <c r="H16" s="16">
        <v>1333897.63</v>
      </c>
      <c r="I16" s="16">
        <f t="shared" si="1"/>
        <v>853694.432</v>
      </c>
      <c r="J16" s="16">
        <f t="shared" si="2"/>
        <v>213423.608</v>
      </c>
      <c r="K16" s="16">
        <f t="shared" si="3"/>
        <v>266779.51</v>
      </c>
    </row>
    <row r="17" spans="1:11" ht="12.75">
      <c r="A17" s="3">
        <v>39234</v>
      </c>
      <c r="B17" s="16">
        <v>30904999.289999995</v>
      </c>
      <c r="C17" s="16">
        <f t="shared" si="0"/>
        <v>28081525.159999996</v>
      </c>
      <c r="D17" s="16">
        <v>2823474.13</v>
      </c>
      <c r="E17" s="17">
        <f>22830/30</f>
        <v>761</v>
      </c>
      <c r="F17" s="16">
        <v>123.673855891371</v>
      </c>
      <c r="H17" s="16">
        <v>1411737.15</v>
      </c>
      <c r="I17" s="16">
        <f t="shared" si="1"/>
        <v>903511.7215999999</v>
      </c>
      <c r="J17" s="16">
        <f t="shared" si="2"/>
        <v>225877.93039999998</v>
      </c>
      <c r="K17" s="16">
        <f t="shared" si="3"/>
        <v>282347.413</v>
      </c>
    </row>
    <row r="18" spans="1:11" ht="12.75">
      <c r="A18" s="3">
        <v>39264</v>
      </c>
      <c r="B18" s="16">
        <v>34634876.949999996</v>
      </c>
      <c r="C18" s="16">
        <f t="shared" si="0"/>
        <v>31568529.159999996</v>
      </c>
      <c r="D18" s="16">
        <v>3066347.79</v>
      </c>
      <c r="E18" s="17">
        <f>23591/31</f>
        <v>761</v>
      </c>
      <c r="F18" s="16">
        <v>129.9795595778051</v>
      </c>
      <c r="H18" s="16">
        <v>1533173.95</v>
      </c>
      <c r="I18" s="16">
        <f t="shared" si="1"/>
        <v>981231.2928</v>
      </c>
      <c r="J18" s="16">
        <f t="shared" si="2"/>
        <v>245307.8232</v>
      </c>
      <c r="K18" s="16">
        <f t="shared" si="3"/>
        <v>306634.77900000004</v>
      </c>
    </row>
    <row r="19" spans="1:11" ht="12.75">
      <c r="A19" s="3">
        <v>39295</v>
      </c>
      <c r="B19" s="16">
        <v>36137343.97</v>
      </c>
      <c r="C19" s="16">
        <f t="shared" si="0"/>
        <v>32849489.61</v>
      </c>
      <c r="D19" s="16">
        <v>3287854.36</v>
      </c>
      <c r="E19" s="17">
        <f>23591/31</f>
        <v>761</v>
      </c>
      <c r="F19" s="16">
        <v>139.3690119113221</v>
      </c>
      <c r="H19" s="16">
        <v>1643927.23</v>
      </c>
      <c r="I19" s="16">
        <f t="shared" si="1"/>
        <v>1052113.3952</v>
      </c>
      <c r="J19" s="16">
        <f t="shared" si="2"/>
        <v>263028.3488</v>
      </c>
      <c r="K19" s="16">
        <f t="shared" si="3"/>
        <v>328785.436</v>
      </c>
    </row>
    <row r="20" spans="1:11" ht="12.75">
      <c r="A20" s="3">
        <v>39326</v>
      </c>
      <c r="B20" s="16">
        <v>36028678.28</v>
      </c>
      <c r="C20" s="16">
        <f t="shared" si="0"/>
        <v>32768875.1</v>
      </c>
      <c r="D20" s="16">
        <v>3259803.18</v>
      </c>
      <c r="E20" s="17">
        <f>22830/30</f>
        <v>761</v>
      </c>
      <c r="F20" s="16">
        <f>D20/E20/30</f>
        <v>142.78594743758214</v>
      </c>
      <c r="H20" s="16">
        <f>D20*0.5</f>
        <v>1629901.59</v>
      </c>
      <c r="I20" s="16">
        <f t="shared" si="1"/>
        <v>1043137.0176</v>
      </c>
      <c r="J20" s="16">
        <f t="shared" si="2"/>
        <v>260784.2544</v>
      </c>
      <c r="K20" s="16">
        <f t="shared" si="3"/>
        <v>325980.318</v>
      </c>
    </row>
    <row r="21" spans="1:11" ht="12.75">
      <c r="A21" s="3">
        <v>39356</v>
      </c>
      <c r="B21" s="16">
        <v>33184059.73</v>
      </c>
      <c r="C21" s="16">
        <f t="shared" si="0"/>
        <v>30154888.73</v>
      </c>
      <c r="D21" s="16">
        <v>3029171</v>
      </c>
      <c r="E21" s="17">
        <f>23591/31</f>
        <v>761</v>
      </c>
      <c r="F21" s="16">
        <f>D21/E21/31</f>
        <v>128.40367089144166</v>
      </c>
      <c r="H21" s="16">
        <f>D21*0.5</f>
        <v>1514585.5</v>
      </c>
      <c r="I21" s="16">
        <f t="shared" si="1"/>
        <v>969334.72</v>
      </c>
      <c r="J21" s="16">
        <f t="shared" si="2"/>
        <v>242333.68</v>
      </c>
      <c r="K21" s="16">
        <f t="shared" si="3"/>
        <v>302917.10000000003</v>
      </c>
    </row>
    <row r="22" spans="1:11" ht="12.75">
      <c r="A22" s="3">
        <v>39387</v>
      </c>
      <c r="B22" s="16">
        <v>29516438.78</v>
      </c>
      <c r="C22" s="16">
        <f t="shared" si="0"/>
        <v>26911589.79</v>
      </c>
      <c r="D22" s="16">
        <v>2604848.99</v>
      </c>
      <c r="E22" s="17">
        <v>761</v>
      </c>
      <c r="F22" s="16">
        <f>D22/E22/30</f>
        <v>114.09763425317566</v>
      </c>
      <c r="H22" s="16">
        <v>1302424.58</v>
      </c>
      <c r="I22" s="16">
        <f t="shared" si="1"/>
        <v>833551.6768000001</v>
      </c>
      <c r="J22" s="16">
        <f t="shared" si="2"/>
        <v>208387.91920000003</v>
      </c>
      <c r="K22" s="16">
        <f t="shared" si="3"/>
        <v>260484.89900000003</v>
      </c>
    </row>
    <row r="23" spans="1:11" ht="12.75">
      <c r="A23" s="3">
        <v>39417</v>
      </c>
      <c r="B23" s="16">
        <v>23853531.16</v>
      </c>
      <c r="C23" s="16">
        <f t="shared" si="0"/>
        <v>21686053.47</v>
      </c>
      <c r="D23" s="16">
        <v>2167477.69</v>
      </c>
      <c r="E23" s="17">
        <f>23591/31</f>
        <v>761</v>
      </c>
      <c r="F23" s="16">
        <f>D23/E23/31</f>
        <v>91.87731295833156</v>
      </c>
      <c r="H23" s="16">
        <f>D23*0.5</f>
        <v>1083738.845</v>
      </c>
      <c r="I23" s="16">
        <f>D23*0.32</f>
        <v>693592.8608</v>
      </c>
      <c r="J23" s="16">
        <f>D23*0.08</f>
        <v>173398.2152</v>
      </c>
      <c r="K23" s="16">
        <f>D23*0.1</f>
        <v>216747.769</v>
      </c>
    </row>
    <row r="24" spans="1:11" ht="12.75">
      <c r="A24" s="3">
        <v>39448</v>
      </c>
      <c r="B24" s="16">
        <v>29930284.7</v>
      </c>
      <c r="C24" s="16">
        <f t="shared" si="0"/>
        <v>27219255.05</v>
      </c>
      <c r="D24" s="16">
        <v>2711029.65</v>
      </c>
      <c r="E24" s="17">
        <v>761</v>
      </c>
      <c r="F24" s="16">
        <f>D24/E24/31</f>
        <v>114.91796235852655</v>
      </c>
      <c r="H24" s="16">
        <f>D24*0.5</f>
        <v>1355514.825</v>
      </c>
      <c r="I24" s="16">
        <f>D24*0.32</f>
        <v>867529.488</v>
      </c>
      <c r="J24" s="16">
        <f>D24*0.08</f>
        <v>216882.372</v>
      </c>
      <c r="K24" s="16">
        <f>D24*0.1</f>
        <v>271102.965</v>
      </c>
    </row>
    <row r="25" spans="1:11" ht="12.75">
      <c r="A25" s="3">
        <v>39479</v>
      </c>
      <c r="B25" s="16">
        <v>29455763.44</v>
      </c>
      <c r="C25" s="16">
        <f t="shared" si="0"/>
        <v>26838603.53</v>
      </c>
      <c r="D25" s="16">
        <v>2617159.91</v>
      </c>
      <c r="E25" s="17">
        <v>761</v>
      </c>
      <c r="F25" s="16">
        <f>D25/E25/29</f>
        <v>118.58987312519824</v>
      </c>
      <c r="H25" s="16">
        <f>D25*0.5</f>
        <v>1308579.955</v>
      </c>
      <c r="I25" s="16">
        <f>D25*0.32</f>
        <v>837491.1712000001</v>
      </c>
      <c r="J25" s="16">
        <f>D25*0.08</f>
        <v>209372.79280000002</v>
      </c>
      <c r="K25" s="16">
        <f>D25*0.1</f>
        <v>261715.99100000004</v>
      </c>
    </row>
    <row r="26" spans="1:11" ht="12.75">
      <c r="A26" s="3">
        <v>39508</v>
      </c>
      <c r="B26" s="16">
        <v>35824481.11</v>
      </c>
      <c r="C26" s="16">
        <f t="shared" si="0"/>
        <v>32695865.99</v>
      </c>
      <c r="D26" s="16">
        <v>3128615.12</v>
      </c>
      <c r="E26" s="17">
        <v>761</v>
      </c>
      <c r="F26" s="16">
        <f>D26/E26/31</f>
        <v>132.61901233521257</v>
      </c>
      <c r="H26" s="16">
        <f>D26*0.5</f>
        <v>1564307.56</v>
      </c>
      <c r="I26" s="16">
        <f>D26*0.32</f>
        <v>1001156.8384</v>
      </c>
      <c r="J26" s="16">
        <f>D26*0.08</f>
        <v>250289.2096</v>
      </c>
      <c r="K26" s="16">
        <f>D26*0.1</f>
        <v>312861.51200000005</v>
      </c>
    </row>
    <row r="27" spans="1:11" ht="13.5" thickBot="1">
      <c r="A27" s="3" t="s">
        <v>20</v>
      </c>
      <c r="B27" s="18">
        <f>SUM(B15:B26)</f>
        <v>378316379.49</v>
      </c>
      <c r="C27" s="18">
        <f>SUM(C15:C26)</f>
        <v>344388187.01</v>
      </c>
      <c r="D27" s="18">
        <f>SUM(D15:D26)</f>
        <v>33928192.48</v>
      </c>
      <c r="H27" s="18">
        <f>SUM(H15:H26)</f>
        <v>16964096.665</v>
      </c>
      <c r="I27" s="18">
        <f>SUM(I15:I26)</f>
        <v>10857021.593600001</v>
      </c>
      <c r="J27" s="18">
        <f>SUM(J15:J26)</f>
        <v>2714255.3984000003</v>
      </c>
      <c r="K27" s="18">
        <f>SUM(K15:K26)</f>
        <v>3392819.248</v>
      </c>
    </row>
    <row r="28" spans="2:11" ht="10.5" customHeight="1" thickTop="1">
      <c r="B28" s="19"/>
      <c r="C28" s="19"/>
      <c r="D28" s="19"/>
      <c r="H28" s="19"/>
      <c r="I28" s="19"/>
      <c r="J28" s="19"/>
      <c r="K28" s="19"/>
    </row>
    <row r="29" spans="1:11" s="22" customFormat="1" ht="12.75">
      <c r="A29" s="20"/>
      <c r="B29" s="21"/>
      <c r="C29" s="21">
        <f>C27/B27</f>
        <v>0.9103179393772538</v>
      </c>
      <c r="D29" s="21">
        <f>D27/B27</f>
        <v>0.08968206062274608</v>
      </c>
      <c r="H29" s="21">
        <f>H27/$D$27</f>
        <v>0.5000000125264558</v>
      </c>
      <c r="I29" s="21">
        <f>I27/$D$27</f>
        <v>0.32000000000000006</v>
      </c>
      <c r="J29" s="21">
        <f>J27/$D$27</f>
        <v>0.08000000000000002</v>
      </c>
      <c r="K29" s="21">
        <f>K27/$D$27</f>
        <v>0.10000000000000002</v>
      </c>
    </row>
    <row r="31" spans="1:11" s="23" customFormat="1" ht="12.75">
      <c r="A31" s="81" t="s">
        <v>21</v>
      </c>
      <c r="B31" s="82"/>
      <c r="C31" s="82"/>
      <c r="D31" s="82"/>
      <c r="E31" s="82"/>
      <c r="F31" s="82"/>
      <c r="G31" s="82"/>
      <c r="H31" s="82"/>
      <c r="I31" s="82"/>
      <c r="J31" s="82"/>
      <c r="K31" s="88"/>
    </row>
    <row r="32" ht="12.75">
      <c r="A32" s="24"/>
    </row>
    <row r="33" spans="1:12" s="45" customFormat="1" ht="12.75" customHeight="1">
      <c r="A33" s="41" t="s">
        <v>22</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5" customFormat="1" ht="12.75">
      <c r="A43" s="41" t="s">
        <v>68</v>
      </c>
      <c r="B43" s="42"/>
      <c r="C43" s="42" t="s">
        <v>69</v>
      </c>
      <c r="D43" s="46"/>
      <c r="E43" s="47"/>
      <c r="F43" s="42"/>
      <c r="G43" s="42"/>
      <c r="H43" s="42"/>
      <c r="I43" s="42"/>
      <c r="J43" s="42"/>
      <c r="K43" s="42"/>
      <c r="L43" s="42"/>
    </row>
    <row r="44" spans="1:12" s="45" customFormat="1" ht="12.75">
      <c r="A44" s="41"/>
      <c r="B44" s="42"/>
      <c r="C44" s="42" t="s">
        <v>76</v>
      </c>
      <c r="D44" s="46"/>
      <c r="E44" s="47"/>
      <c r="F44" s="42"/>
      <c r="G44" s="42"/>
      <c r="H44" s="42"/>
      <c r="I44" s="42"/>
      <c r="J44" s="42"/>
      <c r="K44" s="42"/>
      <c r="L44" s="42"/>
    </row>
    <row r="45" spans="1:12" s="45" customFormat="1" ht="12.75">
      <c r="A45" s="41"/>
      <c r="B45" s="42"/>
      <c r="C45" s="42" t="s">
        <v>77</v>
      </c>
      <c r="D45" s="46"/>
      <c r="E45" s="47"/>
      <c r="F45" s="42"/>
      <c r="G45" s="42"/>
      <c r="H45" s="42"/>
      <c r="I45" s="42"/>
      <c r="J45" s="42"/>
      <c r="K45" s="42"/>
      <c r="L45" s="42"/>
    </row>
    <row r="46" spans="1:11" ht="6" customHeight="1">
      <c r="A46" s="25"/>
      <c r="B46" s="26"/>
      <c r="C46" s="26"/>
      <c r="E46" s="27"/>
      <c r="F46" s="26"/>
      <c r="G46" s="26"/>
      <c r="H46" s="26"/>
      <c r="I46" s="26"/>
      <c r="J46" s="26"/>
      <c r="K46" s="26"/>
    </row>
    <row r="47" spans="1:12" s="45" customFormat="1" ht="12.75">
      <c r="A47" s="41" t="s">
        <v>30</v>
      </c>
      <c r="B47" s="42"/>
      <c r="C47" s="42" t="s">
        <v>66</v>
      </c>
      <c r="D47" s="46"/>
      <c r="E47" s="47"/>
      <c r="F47" s="42"/>
      <c r="G47" s="42"/>
      <c r="H47" s="42"/>
      <c r="I47" s="42"/>
      <c r="J47" s="42"/>
      <c r="K47" s="42"/>
      <c r="L47" s="42"/>
    </row>
    <row r="48" spans="1:12" s="45" customFormat="1" ht="12.75">
      <c r="A48" s="41"/>
      <c r="B48" s="42"/>
      <c r="C48" s="42" t="s">
        <v>67</v>
      </c>
      <c r="D48" s="46"/>
      <c r="E48" s="47"/>
      <c r="F48" s="42"/>
      <c r="G48" s="42"/>
      <c r="H48" s="42"/>
      <c r="I48" s="42"/>
      <c r="J48" s="42"/>
      <c r="K48" s="42"/>
      <c r="L48" s="42"/>
    </row>
    <row r="49" spans="1:11" ht="6" customHeight="1">
      <c r="A49" s="25"/>
      <c r="B49" s="26"/>
      <c r="C49" s="26"/>
      <c r="E49" s="27"/>
      <c r="F49" s="26"/>
      <c r="G49" s="26"/>
      <c r="H49" s="26"/>
      <c r="I49" s="26"/>
      <c r="J49" s="26"/>
      <c r="K49" s="26"/>
    </row>
    <row r="50" spans="1:12" s="45" customFormat="1" ht="12.75">
      <c r="A50" s="41" t="s">
        <v>70</v>
      </c>
      <c r="B50" s="42"/>
      <c r="C50" s="42" t="s">
        <v>71</v>
      </c>
      <c r="D50" s="46"/>
      <c r="E50" s="47"/>
      <c r="F50" s="42"/>
      <c r="G50" s="42"/>
      <c r="H50" s="42"/>
      <c r="I50" s="42"/>
      <c r="J50" s="42"/>
      <c r="K50" s="42"/>
      <c r="L50" s="42"/>
    </row>
    <row r="51" spans="1:12" s="45" customFormat="1" ht="12.75">
      <c r="A51" s="48"/>
      <c r="B51" s="42"/>
      <c r="C51" s="42" t="s">
        <v>72</v>
      </c>
      <c r="D51" s="46"/>
      <c r="E51" s="47"/>
      <c r="F51" s="42"/>
      <c r="G51" s="42"/>
      <c r="H51" s="42"/>
      <c r="I51" s="42"/>
      <c r="J51" s="42"/>
      <c r="K51" s="42"/>
      <c r="L51" s="42"/>
    </row>
    <row r="52" spans="1:11" ht="12.75">
      <c r="A52" s="29"/>
      <c r="B52" s="30"/>
      <c r="C52" s="30"/>
      <c r="D52" s="30"/>
      <c r="E52" s="31"/>
      <c r="F52" s="30"/>
      <c r="G52" s="30"/>
      <c r="H52" s="30"/>
      <c r="I52" s="30"/>
      <c r="J52" s="30"/>
      <c r="K52" s="30"/>
    </row>
    <row r="53" spans="1:11" s="23" customFormat="1" ht="12.75">
      <c r="A53" s="81" t="s">
        <v>31</v>
      </c>
      <c r="B53" s="82"/>
      <c r="C53" s="82"/>
      <c r="D53" s="82"/>
      <c r="E53" s="82"/>
      <c r="F53" s="82"/>
      <c r="G53" s="82"/>
      <c r="H53" s="82"/>
      <c r="I53" s="82"/>
      <c r="J53" s="82"/>
      <c r="K53" s="88"/>
    </row>
    <row r="54" ht="12.75">
      <c r="A54" s="24"/>
    </row>
    <row r="55" spans="1:11" ht="13.5">
      <c r="A55" s="32"/>
      <c r="F55" s="10" t="s">
        <v>9</v>
      </c>
      <c r="G55" s="33"/>
      <c r="H55" s="10" t="s">
        <v>73</v>
      </c>
      <c r="I55" s="10" t="s">
        <v>10</v>
      </c>
      <c r="J55" s="53" t="s">
        <v>74</v>
      </c>
      <c r="K55" s="34"/>
    </row>
    <row r="56" spans="1:11" ht="12.75">
      <c r="A56" s="35"/>
      <c r="F56" s="8" t="s">
        <v>17</v>
      </c>
      <c r="G56" s="36"/>
      <c r="H56" s="8" t="s">
        <v>18</v>
      </c>
      <c r="I56" s="8" t="s">
        <v>19</v>
      </c>
      <c r="J56" s="54" t="s">
        <v>75</v>
      </c>
      <c r="K56" s="34"/>
    </row>
    <row r="57" spans="2:11" ht="12.75">
      <c r="B57" s="37" t="s">
        <v>32</v>
      </c>
      <c r="C57" s="37"/>
      <c r="D57" s="26"/>
      <c r="E57" s="27"/>
      <c r="F57" s="38">
        <v>0.5</v>
      </c>
      <c r="G57" s="26"/>
      <c r="H57" s="38">
        <v>0.32</v>
      </c>
      <c r="I57" s="38">
        <v>0.08</v>
      </c>
      <c r="J57" s="38">
        <v>0.1</v>
      </c>
      <c r="K57" s="39"/>
    </row>
    <row r="58" spans="2:11" ht="12.75">
      <c r="B58" s="37" t="s">
        <v>33</v>
      </c>
      <c r="C58" s="37"/>
      <c r="D58" s="26"/>
      <c r="E58" s="27"/>
      <c r="F58" s="38">
        <v>0.53</v>
      </c>
      <c r="G58" s="26"/>
      <c r="H58" s="38">
        <v>0.29</v>
      </c>
      <c r="I58" s="38">
        <v>0.08</v>
      </c>
      <c r="J58" s="38">
        <v>0.1</v>
      </c>
      <c r="K58" s="39"/>
    </row>
    <row r="59" spans="2:11" ht="12.75">
      <c r="B59" s="37" t="s">
        <v>34</v>
      </c>
      <c r="C59" s="37"/>
      <c r="D59" s="26"/>
      <c r="E59" s="27"/>
      <c r="F59" s="38">
        <v>0.56</v>
      </c>
      <c r="G59" s="26"/>
      <c r="H59" s="38">
        <v>0.29</v>
      </c>
      <c r="I59" s="38">
        <v>0.05</v>
      </c>
      <c r="J59" s="38">
        <v>0.1</v>
      </c>
      <c r="K59" s="39"/>
    </row>
    <row r="60" spans="2:11" ht="12.75">
      <c r="B60" s="37" t="s">
        <v>35</v>
      </c>
      <c r="C60" s="37"/>
      <c r="D60" s="26"/>
      <c r="E60" s="27"/>
      <c r="F60" s="38">
        <v>0.59</v>
      </c>
      <c r="G60" s="26"/>
      <c r="H60" s="38">
        <v>0.26</v>
      </c>
      <c r="I60" s="38">
        <v>0.05</v>
      </c>
      <c r="J60" s="38">
        <v>0.1</v>
      </c>
      <c r="K60" s="39"/>
    </row>
    <row r="61" ht="12.75">
      <c r="A61" s="24"/>
    </row>
    <row r="62" spans="1:11" s="23" customFormat="1" ht="12.75">
      <c r="A62" s="84" t="s">
        <v>39</v>
      </c>
      <c r="B62" s="85"/>
      <c r="C62" s="85"/>
      <c r="D62" s="85"/>
      <c r="E62" s="85"/>
      <c r="F62" s="85"/>
      <c r="G62" s="85"/>
      <c r="H62" s="85"/>
      <c r="I62" s="85"/>
      <c r="J62" s="85"/>
      <c r="K62" s="89"/>
    </row>
    <row r="63" spans="1:5" ht="12.75">
      <c r="A63" s="24"/>
      <c r="D63"/>
      <c r="E63" s="16"/>
    </row>
    <row r="64" spans="1:11" ht="51.75" customHeight="1">
      <c r="A64" s="90" t="s">
        <v>43</v>
      </c>
      <c r="B64" s="90"/>
      <c r="C64" s="90"/>
      <c r="D64" s="90"/>
      <c r="E64" s="90"/>
      <c r="F64" s="90"/>
      <c r="G64" s="90"/>
      <c r="H64" s="90"/>
      <c r="I64" s="90"/>
      <c r="J64" s="90"/>
      <c r="K64" s="90"/>
    </row>
    <row r="65" spans="1:5" ht="12.75">
      <c r="A65" s="16"/>
      <c r="D65"/>
      <c r="E65" s="16"/>
    </row>
    <row r="66" spans="2:4" ht="12.75">
      <c r="B66" s="24" t="s">
        <v>40</v>
      </c>
      <c r="C66" s="24"/>
      <c r="D66" s="16">
        <v>151898</v>
      </c>
    </row>
    <row r="67" spans="2:4" ht="12.75">
      <c r="B67" s="24" t="s">
        <v>41</v>
      </c>
      <c r="C67" s="24"/>
      <c r="D67" s="16">
        <v>341230</v>
      </c>
    </row>
    <row r="68" spans="2:4" ht="12.75">
      <c r="B68" s="16" t="s">
        <v>42</v>
      </c>
      <c r="D68" s="16">
        <v>284507</v>
      </c>
    </row>
    <row r="69" ht="12.75">
      <c r="D69" s="16" t="s">
        <v>36</v>
      </c>
    </row>
    <row r="71" ht="12.75">
      <c r="A71" s="24" t="s">
        <v>37</v>
      </c>
    </row>
  </sheetData>
  <sheetProtection/>
  <mergeCells count="11">
    <mergeCell ref="A1:K1"/>
    <mergeCell ref="A2:K2"/>
    <mergeCell ref="A3:K3"/>
    <mergeCell ref="A5:K5"/>
    <mergeCell ref="A4:K4"/>
    <mergeCell ref="A62:K62"/>
    <mergeCell ref="A64:K64"/>
    <mergeCell ref="A31:K31"/>
    <mergeCell ref="A53:K53"/>
    <mergeCell ref="H10:K10"/>
    <mergeCell ref="A8:K8"/>
  </mergeCells>
  <hyperlinks>
    <hyperlink ref="A4" r:id="rId1" display="www.vernondowns.com"/>
  </hyperlinks>
  <printOptions horizontalCentered="1"/>
  <pageMargins left="0.25" right="0.25" top="0.75" bottom="0.5" header="0.5" footer="0.5"/>
  <pageSetup fitToHeight="1" fitToWidth="1" horizontalDpi="600" verticalDpi="600" orientation="portrait" scale="78" r:id="rId3"/>
  <drawing r:id="rId2"/>
</worksheet>
</file>

<file path=xl/worksheets/sheet18.xml><?xml version="1.0" encoding="utf-8"?>
<worksheet xmlns="http://schemas.openxmlformats.org/spreadsheetml/2006/main" xmlns:r="http://schemas.openxmlformats.org/officeDocument/2006/relationships">
  <sheetPr>
    <pageSetUpPr fitToPage="1"/>
  </sheetPr>
  <dimension ref="A1:L63"/>
  <sheetViews>
    <sheetView zoomScalePageLayoutView="0" workbookViewId="0" topLeftCell="A1">
      <selection activeCell="A28" sqref="A28"/>
    </sheetView>
  </sheetViews>
  <sheetFormatPr defaultColWidth="9.140625" defaultRowHeight="12.75"/>
  <cols>
    <col min="1" max="1" width="9.28125" style="3" customWidth="1"/>
    <col min="2" max="3" width="14.140625" style="16" customWidth="1"/>
    <col min="4" max="4" width="13.140625" style="16" customWidth="1"/>
    <col min="5" max="5" width="8.8515625" style="17" customWidth="1"/>
    <col min="6" max="6" width="10.28125" style="16" customWidth="1"/>
    <col min="7" max="7" width="1.421875" style="16" customWidth="1"/>
    <col min="8" max="11" width="15.140625" style="16" customWidth="1"/>
    <col min="12" max="12" width="12.7109375" style="0" customWidth="1"/>
  </cols>
  <sheetData>
    <row r="1" spans="1:11" ht="18">
      <c r="A1" s="77" t="s">
        <v>52</v>
      </c>
      <c r="B1" s="77"/>
      <c r="C1" s="77"/>
      <c r="D1" s="77"/>
      <c r="E1" s="77"/>
      <c r="F1" s="77"/>
      <c r="G1" s="77"/>
      <c r="H1" s="77"/>
      <c r="I1" s="77"/>
      <c r="J1" s="77"/>
      <c r="K1" s="77"/>
    </row>
    <row r="2" spans="1:11" ht="15">
      <c r="A2" s="78" t="s">
        <v>0</v>
      </c>
      <c r="B2" s="78"/>
      <c r="C2" s="78"/>
      <c r="D2" s="78"/>
      <c r="E2" s="78"/>
      <c r="F2" s="78"/>
      <c r="G2" s="78"/>
      <c r="H2" s="78"/>
      <c r="I2" s="78"/>
      <c r="J2" s="78"/>
      <c r="K2" s="78"/>
    </row>
    <row r="3" spans="1:11" s="1" customFormat="1" ht="15">
      <c r="A3" s="78" t="s">
        <v>1</v>
      </c>
      <c r="B3" s="78"/>
      <c r="C3" s="78"/>
      <c r="D3" s="78"/>
      <c r="E3" s="78"/>
      <c r="F3" s="78"/>
      <c r="G3" s="78"/>
      <c r="H3" s="78"/>
      <c r="I3" s="78"/>
      <c r="J3" s="78"/>
      <c r="K3" s="78"/>
    </row>
    <row r="4" spans="1:11" s="1" customFormat="1" ht="14.25" customHeight="1">
      <c r="A4" s="79" t="s">
        <v>2</v>
      </c>
      <c r="B4" s="79"/>
      <c r="C4" s="79"/>
      <c r="D4" s="79"/>
      <c r="E4" s="79"/>
      <c r="F4" s="79"/>
      <c r="G4" s="79"/>
      <c r="H4" s="79"/>
      <c r="I4" s="79"/>
      <c r="J4" s="79"/>
      <c r="K4" s="79"/>
    </row>
    <row r="5" spans="1:11" s="1" customFormat="1" ht="14.25">
      <c r="A5" s="80" t="s">
        <v>3</v>
      </c>
      <c r="B5" s="80"/>
      <c r="C5" s="80"/>
      <c r="D5" s="80"/>
      <c r="E5" s="80"/>
      <c r="F5" s="80"/>
      <c r="G5" s="80"/>
      <c r="H5" s="80"/>
      <c r="I5" s="80"/>
      <c r="J5" s="80"/>
      <c r="K5" s="80"/>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81" t="s">
        <v>4</v>
      </c>
      <c r="B8" s="82"/>
      <c r="C8" s="82"/>
      <c r="D8" s="82"/>
      <c r="E8" s="82"/>
      <c r="F8" s="82"/>
      <c r="G8" s="82"/>
      <c r="H8" s="82"/>
      <c r="I8" s="82"/>
      <c r="J8" s="82"/>
      <c r="K8" s="88"/>
    </row>
    <row r="9" spans="1:11" s="1" customFormat="1" ht="9" customHeight="1">
      <c r="A9" s="3"/>
      <c r="B9" s="4"/>
      <c r="C9" s="4"/>
      <c r="D9" s="5"/>
      <c r="E9" s="6"/>
      <c r="F9" s="5"/>
      <c r="G9" s="5"/>
      <c r="H9" s="5"/>
      <c r="I9" s="5"/>
      <c r="J9" s="5"/>
      <c r="K9" s="5"/>
    </row>
    <row r="10" spans="1:11" s="1" customFormat="1" ht="12.75">
      <c r="A10" s="3"/>
      <c r="B10" s="5"/>
      <c r="C10" s="5"/>
      <c r="D10" s="5"/>
      <c r="E10" s="6"/>
      <c r="F10" s="5"/>
      <c r="G10" s="5"/>
      <c r="H10" s="83" t="s">
        <v>5</v>
      </c>
      <c r="I10" s="83"/>
      <c r="J10" s="83"/>
      <c r="K10" s="83"/>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73</v>
      </c>
      <c r="J12" s="10" t="s">
        <v>10</v>
      </c>
      <c r="K12" s="10" t="s">
        <v>74</v>
      </c>
    </row>
    <row r="13" spans="1:11" s="12" customFormat="1" ht="12">
      <c r="A13" s="13" t="s">
        <v>11</v>
      </c>
      <c r="B13" s="8" t="s">
        <v>12</v>
      </c>
      <c r="C13" s="8" t="s">
        <v>13</v>
      </c>
      <c r="D13" s="8" t="s">
        <v>14</v>
      </c>
      <c r="E13" s="14" t="s">
        <v>15</v>
      </c>
      <c r="F13" s="8" t="s">
        <v>16</v>
      </c>
      <c r="G13" s="15"/>
      <c r="H13" s="8" t="s">
        <v>17</v>
      </c>
      <c r="I13" s="8" t="s">
        <v>18</v>
      </c>
      <c r="J13" s="8" t="s">
        <v>19</v>
      </c>
      <c r="K13" s="8" t="s">
        <v>75</v>
      </c>
    </row>
    <row r="15" spans="1:11" ht="12.75">
      <c r="A15" s="3">
        <v>38808</v>
      </c>
      <c r="B15" s="16">
        <v>0</v>
      </c>
      <c r="C15" s="16">
        <f aca="true" t="shared" si="0" ref="C15:C26">B15-D15</f>
        <v>0</v>
      </c>
      <c r="D15" s="16">
        <v>0</v>
      </c>
      <c r="E15" s="17">
        <v>0</v>
      </c>
      <c r="F15" s="16">
        <v>0</v>
      </c>
      <c r="H15" s="16">
        <f aca="true" t="shared" si="1" ref="H15:H26">D15*0.5</f>
        <v>0</v>
      </c>
      <c r="I15" s="16">
        <f aca="true" t="shared" si="2" ref="I15:I26">D15*0.32</f>
        <v>0</v>
      </c>
      <c r="J15" s="16">
        <f aca="true" t="shared" si="3" ref="J15:J26">D15*0.08</f>
        <v>0</v>
      </c>
      <c r="K15" s="16">
        <f aca="true" t="shared" si="4" ref="K15:K26">D15*0.1</f>
        <v>0</v>
      </c>
    </row>
    <row r="16" spans="1:11" ht="12.75">
      <c r="A16" s="3">
        <v>38838</v>
      </c>
      <c r="B16" s="16">
        <v>0</v>
      </c>
      <c r="C16" s="16">
        <f t="shared" si="0"/>
        <v>0</v>
      </c>
      <c r="D16" s="16">
        <v>0</v>
      </c>
      <c r="E16" s="17">
        <v>0</v>
      </c>
      <c r="F16" s="16">
        <v>0</v>
      </c>
      <c r="H16" s="16">
        <f t="shared" si="1"/>
        <v>0</v>
      </c>
      <c r="I16" s="16">
        <f t="shared" si="2"/>
        <v>0</v>
      </c>
      <c r="J16" s="16">
        <f t="shared" si="3"/>
        <v>0</v>
      </c>
      <c r="K16" s="16">
        <f t="shared" si="4"/>
        <v>0</v>
      </c>
    </row>
    <row r="17" spans="1:11" ht="12.75">
      <c r="A17" s="3">
        <v>38869</v>
      </c>
      <c r="B17" s="16">
        <v>0</v>
      </c>
      <c r="C17" s="16">
        <f t="shared" si="0"/>
        <v>0</v>
      </c>
      <c r="D17" s="16">
        <v>0</v>
      </c>
      <c r="E17" s="17">
        <v>0</v>
      </c>
      <c r="F17" s="16">
        <v>0</v>
      </c>
      <c r="H17" s="16">
        <f t="shared" si="1"/>
        <v>0</v>
      </c>
      <c r="I17" s="16">
        <f t="shared" si="2"/>
        <v>0</v>
      </c>
      <c r="J17" s="16">
        <f t="shared" si="3"/>
        <v>0</v>
      </c>
      <c r="K17" s="16">
        <f t="shared" si="4"/>
        <v>0</v>
      </c>
    </row>
    <row r="18" spans="1:11" ht="12.75">
      <c r="A18" s="3">
        <v>38899</v>
      </c>
      <c r="B18" s="16">
        <v>0</v>
      </c>
      <c r="C18" s="16">
        <f t="shared" si="0"/>
        <v>0</v>
      </c>
      <c r="D18" s="16">
        <v>0</v>
      </c>
      <c r="E18" s="17">
        <v>0</v>
      </c>
      <c r="F18" s="16">
        <v>0</v>
      </c>
      <c r="H18" s="16">
        <f t="shared" si="1"/>
        <v>0</v>
      </c>
      <c r="I18" s="16">
        <f t="shared" si="2"/>
        <v>0</v>
      </c>
      <c r="J18" s="16">
        <f t="shared" si="3"/>
        <v>0</v>
      </c>
      <c r="K18" s="16">
        <f t="shared" si="4"/>
        <v>0</v>
      </c>
    </row>
    <row r="19" spans="1:11" ht="12.75">
      <c r="A19" s="3">
        <v>38930</v>
      </c>
      <c r="B19" s="16">
        <v>0</v>
      </c>
      <c r="C19" s="16">
        <f t="shared" si="0"/>
        <v>0</v>
      </c>
      <c r="D19" s="16">
        <v>0</v>
      </c>
      <c r="E19" s="17">
        <v>0</v>
      </c>
      <c r="F19" s="16">
        <v>0</v>
      </c>
      <c r="H19" s="16">
        <f t="shared" si="1"/>
        <v>0</v>
      </c>
      <c r="I19" s="16">
        <f t="shared" si="2"/>
        <v>0</v>
      </c>
      <c r="J19" s="16">
        <f t="shared" si="3"/>
        <v>0</v>
      </c>
      <c r="K19" s="16">
        <f t="shared" si="4"/>
        <v>0</v>
      </c>
    </row>
    <row r="20" spans="1:11" ht="12.75">
      <c r="A20" s="3">
        <v>38961</v>
      </c>
      <c r="B20" s="16">
        <v>0</v>
      </c>
      <c r="C20" s="16">
        <f t="shared" si="0"/>
        <v>0</v>
      </c>
      <c r="D20" s="16">
        <v>0</v>
      </c>
      <c r="E20" s="17">
        <v>0</v>
      </c>
      <c r="F20" s="16">
        <v>0</v>
      </c>
      <c r="H20" s="16">
        <f t="shared" si="1"/>
        <v>0</v>
      </c>
      <c r="I20" s="16">
        <f t="shared" si="2"/>
        <v>0</v>
      </c>
      <c r="J20" s="16">
        <f t="shared" si="3"/>
        <v>0</v>
      </c>
      <c r="K20" s="16">
        <f t="shared" si="4"/>
        <v>0</v>
      </c>
    </row>
    <row r="21" spans="1:11" ht="12.75">
      <c r="A21" s="3">
        <v>38991</v>
      </c>
      <c r="B21" s="16">
        <v>12662845.8</v>
      </c>
      <c r="C21" s="16">
        <f t="shared" si="0"/>
        <v>11604892.23</v>
      </c>
      <c r="D21" s="16">
        <v>1057953.57</v>
      </c>
      <c r="E21" s="17">
        <f>4662/6</f>
        <v>777</v>
      </c>
      <c r="F21" s="16">
        <v>226.93126769626772</v>
      </c>
      <c r="H21" s="16">
        <f t="shared" si="1"/>
        <v>528976.785</v>
      </c>
      <c r="I21" s="16">
        <f t="shared" si="2"/>
        <v>338545.1424</v>
      </c>
      <c r="J21" s="16">
        <f t="shared" si="3"/>
        <v>84636.2856</v>
      </c>
      <c r="K21" s="16">
        <f t="shared" si="4"/>
        <v>105795.35700000002</v>
      </c>
    </row>
    <row r="22" spans="1:11" ht="12.75">
      <c r="A22" s="3">
        <v>39022</v>
      </c>
      <c r="B22" s="16">
        <v>40237908.91000001</v>
      </c>
      <c r="C22" s="16">
        <f t="shared" si="0"/>
        <v>36677806.14000001</v>
      </c>
      <c r="D22" s="16">
        <v>3560102.77</v>
      </c>
      <c r="E22" s="17">
        <f>23310/30</f>
        <v>777</v>
      </c>
      <c r="F22" s="16">
        <v>152.72856156156155</v>
      </c>
      <c r="H22" s="16">
        <f t="shared" si="1"/>
        <v>1780051.385</v>
      </c>
      <c r="I22" s="16">
        <f t="shared" si="2"/>
        <v>1139232.8864</v>
      </c>
      <c r="J22" s="16">
        <f t="shared" si="3"/>
        <v>284808.2216</v>
      </c>
      <c r="K22" s="16">
        <f t="shared" si="4"/>
        <v>356010.277</v>
      </c>
    </row>
    <row r="23" spans="1:11" ht="12.75">
      <c r="A23" s="3">
        <v>39052</v>
      </c>
      <c r="B23" s="16">
        <v>29720830.999999996</v>
      </c>
      <c r="C23" s="16">
        <f t="shared" si="0"/>
        <v>27145430.879999995</v>
      </c>
      <c r="D23" s="16">
        <v>2575400.12</v>
      </c>
      <c r="E23" s="17">
        <f>24087/31</f>
        <v>777</v>
      </c>
      <c r="F23" s="16">
        <v>106.9207506123635</v>
      </c>
      <c r="H23" s="16">
        <f t="shared" si="1"/>
        <v>1287700.06</v>
      </c>
      <c r="I23" s="16">
        <f t="shared" si="2"/>
        <v>824128.0384000001</v>
      </c>
      <c r="J23" s="16">
        <f t="shared" si="3"/>
        <v>206032.00960000002</v>
      </c>
      <c r="K23" s="16">
        <f t="shared" si="4"/>
        <v>257540.01200000002</v>
      </c>
    </row>
    <row r="24" spans="1:11" ht="12.75">
      <c r="A24" s="3">
        <v>39083</v>
      </c>
      <c r="B24" s="16">
        <v>26235684.24</v>
      </c>
      <c r="C24" s="16">
        <f t="shared" si="0"/>
        <v>23919706.029999997</v>
      </c>
      <c r="D24" s="16">
        <v>2315978.21</v>
      </c>
      <c r="E24" s="17">
        <f>24087/31</f>
        <v>777</v>
      </c>
      <c r="F24" s="16">
        <v>96.15054635280441</v>
      </c>
      <c r="H24" s="16">
        <f t="shared" si="1"/>
        <v>1157989.105</v>
      </c>
      <c r="I24" s="16">
        <f t="shared" si="2"/>
        <v>741113.0272</v>
      </c>
      <c r="J24" s="16">
        <f t="shared" si="3"/>
        <v>185278.2568</v>
      </c>
      <c r="K24" s="16">
        <f t="shared" si="4"/>
        <v>231597.821</v>
      </c>
    </row>
    <row r="25" spans="1:11" ht="12.75">
      <c r="A25" s="3">
        <v>39114</v>
      </c>
      <c r="B25" s="16">
        <v>19423452.709999997</v>
      </c>
      <c r="C25" s="16">
        <f t="shared" si="0"/>
        <v>17653854.599999998</v>
      </c>
      <c r="D25" s="16">
        <v>1769598.11</v>
      </c>
      <c r="E25" s="17">
        <f>21756/28</f>
        <v>777</v>
      </c>
      <c r="F25" s="16">
        <v>81.33839446589448</v>
      </c>
      <c r="H25" s="16">
        <f t="shared" si="1"/>
        <v>884799.055</v>
      </c>
      <c r="I25" s="16">
        <f t="shared" si="2"/>
        <v>566271.3952</v>
      </c>
      <c r="J25" s="16">
        <f t="shared" si="3"/>
        <v>141567.8488</v>
      </c>
      <c r="K25" s="16">
        <f t="shared" si="4"/>
        <v>176959.81100000002</v>
      </c>
    </row>
    <row r="26" spans="1:11" ht="12.75">
      <c r="A26" s="3">
        <v>39142</v>
      </c>
      <c r="B26" s="16">
        <v>27790969.930000007</v>
      </c>
      <c r="C26" s="16">
        <f t="shared" si="0"/>
        <v>25293149.230000008</v>
      </c>
      <c r="D26" s="16">
        <v>2497820.7</v>
      </c>
      <c r="E26" s="17">
        <f>24087/31</f>
        <v>777</v>
      </c>
      <c r="F26" s="16">
        <v>103.69995018059534</v>
      </c>
      <c r="H26" s="16">
        <f t="shared" si="1"/>
        <v>1248910.35</v>
      </c>
      <c r="I26" s="16">
        <f t="shared" si="2"/>
        <v>799302.6240000001</v>
      </c>
      <c r="J26" s="16">
        <f t="shared" si="3"/>
        <v>199825.65600000002</v>
      </c>
      <c r="K26" s="16">
        <f t="shared" si="4"/>
        <v>249782.07000000004</v>
      </c>
    </row>
    <row r="27" spans="1:11" ht="13.5" thickBot="1">
      <c r="A27" s="3" t="s">
        <v>20</v>
      </c>
      <c r="B27" s="18">
        <f>SUM(B15:B26)</f>
        <v>156071692.59</v>
      </c>
      <c r="C27" s="18">
        <f>SUM(C15:C26)</f>
        <v>142294839.11</v>
      </c>
      <c r="D27" s="18">
        <f>SUM(D15:D26)</f>
        <v>13776853.48</v>
      </c>
      <c r="H27" s="18">
        <f>SUM(H15:H26)</f>
        <v>6888426.74</v>
      </c>
      <c r="I27" s="18">
        <f>SUM(I15:I26)</f>
        <v>4408593.1136</v>
      </c>
      <c r="J27" s="18">
        <f>SUM(J15:J26)</f>
        <v>1102148.2784</v>
      </c>
      <c r="K27" s="18">
        <f>SUM(K15:K26)</f>
        <v>1377685.3480000002</v>
      </c>
    </row>
    <row r="28" spans="2:11" ht="10.5" customHeight="1" thickTop="1">
      <c r="B28" s="19"/>
      <c r="C28" s="19"/>
      <c r="D28" s="19"/>
      <c r="H28" s="19"/>
      <c r="I28" s="19"/>
      <c r="J28" s="19"/>
      <c r="K28" s="19"/>
    </row>
    <row r="29" spans="1:11" s="22" customFormat="1" ht="12.75">
      <c r="A29" s="20"/>
      <c r="B29" s="21"/>
      <c r="C29" s="21">
        <f>C27/B27</f>
        <v>0.9117274039169182</v>
      </c>
      <c r="D29" s="21">
        <f>D27/B27</f>
        <v>0.08827259608308193</v>
      </c>
      <c r="H29" s="21">
        <f>H27/$D$27</f>
        <v>0.5</v>
      </c>
      <c r="I29" s="21">
        <f>I27/$D$27</f>
        <v>0.31999999999999995</v>
      </c>
      <c r="J29" s="21">
        <f>J27/$D$27</f>
        <v>0.07999999999999999</v>
      </c>
      <c r="K29" s="21">
        <f>K27/$D$27</f>
        <v>0.10000000000000002</v>
      </c>
    </row>
    <row r="31" spans="1:11" s="23" customFormat="1" ht="12.75">
      <c r="A31" s="81" t="s">
        <v>21</v>
      </c>
      <c r="B31" s="82"/>
      <c r="C31" s="82"/>
      <c r="D31" s="82"/>
      <c r="E31" s="82"/>
      <c r="F31" s="82"/>
      <c r="G31" s="82"/>
      <c r="H31" s="82"/>
      <c r="I31" s="82"/>
      <c r="J31" s="82"/>
      <c r="K31" s="88"/>
    </row>
    <row r="32" ht="12.75">
      <c r="A32" s="24"/>
    </row>
    <row r="33" spans="1:12" s="45" customFormat="1" ht="12.75" customHeight="1">
      <c r="A33" s="41" t="s">
        <v>22</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5" customFormat="1" ht="12.75">
      <c r="A43" s="41" t="s">
        <v>68</v>
      </c>
      <c r="B43" s="42"/>
      <c r="C43" s="42" t="s">
        <v>69</v>
      </c>
      <c r="D43" s="46"/>
      <c r="E43" s="47"/>
      <c r="F43" s="42"/>
      <c r="G43" s="42"/>
      <c r="H43" s="42"/>
      <c r="I43" s="42"/>
      <c r="J43" s="42"/>
      <c r="K43" s="42"/>
      <c r="L43" s="42"/>
    </row>
    <row r="44" spans="1:12" s="45" customFormat="1" ht="12.75">
      <c r="A44" s="41"/>
      <c r="B44" s="42"/>
      <c r="C44" s="42" t="s">
        <v>76</v>
      </c>
      <c r="D44" s="46"/>
      <c r="E44" s="47"/>
      <c r="F44" s="42"/>
      <c r="G44" s="42"/>
      <c r="H44" s="42"/>
      <c r="I44" s="42"/>
      <c r="J44" s="42"/>
      <c r="K44" s="42"/>
      <c r="L44" s="42"/>
    </row>
    <row r="45" spans="1:12" s="45" customFormat="1" ht="12.75">
      <c r="A45" s="41"/>
      <c r="B45" s="42"/>
      <c r="C45" s="42" t="s">
        <v>77</v>
      </c>
      <c r="D45" s="46"/>
      <c r="E45" s="47"/>
      <c r="F45" s="42"/>
      <c r="G45" s="42"/>
      <c r="H45" s="42"/>
      <c r="I45" s="42"/>
      <c r="J45" s="42"/>
      <c r="K45" s="42"/>
      <c r="L45" s="42"/>
    </row>
    <row r="46" spans="1:11" ht="6" customHeight="1">
      <c r="A46" s="25"/>
      <c r="B46" s="26"/>
      <c r="C46" s="26"/>
      <c r="E46" s="27"/>
      <c r="F46" s="26"/>
      <c r="G46" s="26"/>
      <c r="H46" s="26"/>
      <c r="I46" s="26"/>
      <c r="J46" s="26"/>
      <c r="K46" s="26"/>
    </row>
    <row r="47" spans="1:12" s="45" customFormat="1" ht="12.75">
      <c r="A47" s="41" t="s">
        <v>30</v>
      </c>
      <c r="B47" s="42"/>
      <c r="C47" s="42" t="s">
        <v>66</v>
      </c>
      <c r="D47" s="46"/>
      <c r="E47" s="47"/>
      <c r="F47" s="42"/>
      <c r="G47" s="42"/>
      <c r="H47" s="42"/>
      <c r="I47" s="42"/>
      <c r="J47" s="42"/>
      <c r="K47" s="42"/>
      <c r="L47" s="42"/>
    </row>
    <row r="48" spans="1:12" s="45" customFormat="1" ht="12.75">
      <c r="A48" s="41"/>
      <c r="B48" s="42"/>
      <c r="C48" s="42" t="s">
        <v>67</v>
      </c>
      <c r="D48" s="46"/>
      <c r="E48" s="47"/>
      <c r="F48" s="42"/>
      <c r="G48" s="42"/>
      <c r="H48" s="42"/>
      <c r="I48" s="42"/>
      <c r="J48" s="42"/>
      <c r="K48" s="42"/>
      <c r="L48" s="42"/>
    </row>
    <row r="49" spans="1:11" ht="6" customHeight="1">
      <c r="A49" s="25"/>
      <c r="B49" s="26"/>
      <c r="C49" s="26"/>
      <c r="E49" s="27"/>
      <c r="F49" s="26"/>
      <c r="G49" s="26"/>
      <c r="H49" s="26"/>
      <c r="I49" s="26"/>
      <c r="J49" s="26"/>
      <c r="K49" s="26"/>
    </row>
    <row r="50" spans="1:12" s="45" customFormat="1" ht="12.75">
      <c r="A50" s="41" t="s">
        <v>70</v>
      </c>
      <c r="B50" s="42"/>
      <c r="C50" s="42" t="s">
        <v>71</v>
      </c>
      <c r="D50" s="46"/>
      <c r="E50" s="47"/>
      <c r="F50" s="42"/>
      <c r="G50" s="42"/>
      <c r="H50" s="42"/>
      <c r="I50" s="42"/>
      <c r="J50" s="42"/>
      <c r="K50" s="42"/>
      <c r="L50" s="42"/>
    </row>
    <row r="51" spans="1:12" s="45" customFormat="1" ht="12.75">
      <c r="A51" s="48"/>
      <c r="B51" s="42"/>
      <c r="C51" s="42" t="s">
        <v>72</v>
      </c>
      <c r="D51" s="46"/>
      <c r="E51" s="47"/>
      <c r="F51" s="42"/>
      <c r="G51" s="42"/>
      <c r="H51" s="42"/>
      <c r="I51" s="42"/>
      <c r="J51" s="42"/>
      <c r="K51" s="42"/>
      <c r="L51" s="42"/>
    </row>
    <row r="52" spans="1:11" ht="12.75">
      <c r="A52" s="29"/>
      <c r="B52" s="30"/>
      <c r="C52" s="30"/>
      <c r="D52" s="30"/>
      <c r="E52" s="31"/>
      <c r="F52" s="30"/>
      <c r="G52" s="30"/>
      <c r="H52" s="30"/>
      <c r="I52" s="30"/>
      <c r="J52" s="30"/>
      <c r="K52" s="30"/>
    </row>
    <row r="53" spans="1:11" s="23" customFormat="1" ht="12.75">
      <c r="A53" s="81" t="s">
        <v>31</v>
      </c>
      <c r="B53" s="82"/>
      <c r="C53" s="82"/>
      <c r="D53" s="82"/>
      <c r="E53" s="82"/>
      <c r="F53" s="82"/>
      <c r="G53" s="82"/>
      <c r="H53" s="82"/>
      <c r="I53" s="82"/>
      <c r="J53" s="82"/>
      <c r="K53" s="88"/>
    </row>
    <row r="54" ht="12.75">
      <c r="A54" s="24"/>
    </row>
    <row r="55" spans="1:11" ht="13.5">
      <c r="A55" s="32"/>
      <c r="F55" s="10" t="s">
        <v>9</v>
      </c>
      <c r="G55" s="33"/>
      <c r="H55" s="10" t="s">
        <v>73</v>
      </c>
      <c r="I55" s="10" t="s">
        <v>10</v>
      </c>
      <c r="J55" s="53" t="s">
        <v>74</v>
      </c>
      <c r="K55" s="34"/>
    </row>
    <row r="56" spans="1:11" ht="12.75">
      <c r="A56" s="35"/>
      <c r="F56" s="8" t="s">
        <v>17</v>
      </c>
      <c r="G56" s="36"/>
      <c r="H56" s="8" t="s">
        <v>18</v>
      </c>
      <c r="I56" s="8" t="s">
        <v>19</v>
      </c>
      <c r="J56" s="54" t="s">
        <v>75</v>
      </c>
      <c r="K56" s="34"/>
    </row>
    <row r="57" spans="2:11" ht="12.75">
      <c r="B57" s="37" t="s">
        <v>32</v>
      </c>
      <c r="C57" s="37"/>
      <c r="D57" s="26"/>
      <c r="E57" s="27"/>
      <c r="F57" s="38">
        <v>0.5</v>
      </c>
      <c r="G57" s="26"/>
      <c r="H57" s="38">
        <v>0.32</v>
      </c>
      <c r="I57" s="38">
        <v>0.08</v>
      </c>
      <c r="J57" s="38">
        <v>0.1</v>
      </c>
      <c r="K57" s="39"/>
    </row>
    <row r="58" spans="2:11" ht="12.75">
      <c r="B58" s="37" t="s">
        <v>33</v>
      </c>
      <c r="C58" s="37"/>
      <c r="D58" s="26"/>
      <c r="E58" s="27"/>
      <c r="F58" s="38">
        <v>0.53</v>
      </c>
      <c r="G58" s="26"/>
      <c r="H58" s="38">
        <v>0.29</v>
      </c>
      <c r="I58" s="38">
        <v>0.08</v>
      </c>
      <c r="J58" s="38">
        <v>0.1</v>
      </c>
      <c r="K58" s="39"/>
    </row>
    <row r="59" spans="2:11" ht="12.75">
      <c r="B59" s="37" t="s">
        <v>34</v>
      </c>
      <c r="C59" s="37"/>
      <c r="D59" s="26"/>
      <c r="E59" s="27"/>
      <c r="F59" s="38">
        <v>0.56</v>
      </c>
      <c r="G59" s="26"/>
      <c r="H59" s="38">
        <v>0.29</v>
      </c>
      <c r="I59" s="38">
        <v>0.05</v>
      </c>
      <c r="J59" s="38">
        <v>0.1</v>
      </c>
      <c r="K59" s="39"/>
    </row>
    <row r="60" spans="2:11" ht="12.75">
      <c r="B60" s="37" t="s">
        <v>35</v>
      </c>
      <c r="C60" s="37"/>
      <c r="D60" s="26"/>
      <c r="E60" s="27"/>
      <c r="F60" s="38">
        <v>0.59</v>
      </c>
      <c r="G60" s="26"/>
      <c r="H60" s="38">
        <v>0.26</v>
      </c>
      <c r="I60" s="38">
        <v>0.05</v>
      </c>
      <c r="J60" s="38">
        <v>0.1</v>
      </c>
      <c r="K60" s="39"/>
    </row>
    <row r="61" ht="12.75">
      <c r="A61" s="24"/>
    </row>
    <row r="63" ht="12.75">
      <c r="A63" s="24" t="s">
        <v>37</v>
      </c>
    </row>
  </sheetData>
  <sheetProtection/>
  <mergeCells count="9">
    <mergeCell ref="A53:K53"/>
    <mergeCell ref="H10:K10"/>
    <mergeCell ref="A8:K8"/>
    <mergeCell ref="A1:K1"/>
    <mergeCell ref="A2:K2"/>
    <mergeCell ref="A3:K3"/>
    <mergeCell ref="A5:K5"/>
    <mergeCell ref="A4:K4"/>
    <mergeCell ref="A31:K31"/>
  </mergeCells>
  <hyperlinks>
    <hyperlink ref="A4" r:id="rId1" display="www.vernondowns.com"/>
  </hyperlinks>
  <printOptions horizontalCentered="1"/>
  <pageMargins left="0.25" right="0.25" top="0.75" bottom="0.5" header="0.5" footer="0.5"/>
  <pageSetup fitToHeight="1" fitToWidth="1" horizontalDpi="600" verticalDpi="600" orientation="portrait" scale="78"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1">
      <selection activeCell="K26" sqref="K26"/>
    </sheetView>
  </sheetViews>
  <sheetFormatPr defaultColWidth="9.140625" defaultRowHeight="12.75"/>
  <cols>
    <col min="1" max="1" width="10.57421875" style="3" customWidth="1"/>
    <col min="2" max="2" width="15.57421875" style="16" customWidth="1"/>
    <col min="3" max="3" width="13.57421875" style="16" customWidth="1"/>
    <col min="4" max="4" width="14.140625" style="16" customWidth="1"/>
    <col min="5" max="5" width="12.7109375" style="16" customWidth="1"/>
    <col min="6" max="6" width="11.421875" style="17" customWidth="1"/>
    <col min="7" max="7" width="11.421875" style="16" customWidth="1"/>
    <col min="8" max="8" width="2.421875" style="16" customWidth="1"/>
    <col min="9" max="9" width="13.00390625" style="16" customWidth="1"/>
    <col min="10" max="10" width="12.7109375" style="16" customWidth="1"/>
    <col min="11" max="11" width="12.8515625" style="16" bestFit="1" customWidth="1"/>
    <col min="12" max="12" width="12.7109375" style="0" customWidth="1"/>
  </cols>
  <sheetData>
    <row r="1" spans="1:11" ht="18">
      <c r="A1" s="77" t="s">
        <v>52</v>
      </c>
      <c r="B1" s="77"/>
      <c r="C1" s="77"/>
      <c r="D1" s="77"/>
      <c r="E1" s="77"/>
      <c r="F1" s="77"/>
      <c r="G1" s="77"/>
      <c r="H1" s="77"/>
      <c r="I1" s="77"/>
      <c r="J1" s="77"/>
      <c r="K1" s="77"/>
    </row>
    <row r="2" spans="1:11" ht="15">
      <c r="A2" s="78" t="s">
        <v>0</v>
      </c>
      <c r="B2" s="78"/>
      <c r="C2" s="78"/>
      <c r="D2" s="78"/>
      <c r="E2" s="78"/>
      <c r="F2" s="78"/>
      <c r="G2" s="78"/>
      <c r="H2" s="78"/>
      <c r="I2" s="78"/>
      <c r="J2" s="78"/>
      <c r="K2" s="78"/>
    </row>
    <row r="3" spans="1:11" s="1" customFormat="1" ht="15">
      <c r="A3" s="78" t="s">
        <v>1</v>
      </c>
      <c r="B3" s="78"/>
      <c r="C3" s="78"/>
      <c r="D3" s="78"/>
      <c r="E3" s="78"/>
      <c r="F3" s="78"/>
      <c r="G3" s="78"/>
      <c r="H3" s="78"/>
      <c r="I3" s="78"/>
      <c r="J3" s="78"/>
      <c r="K3" s="78"/>
    </row>
    <row r="4" spans="1:11" s="1" customFormat="1" ht="14.25" customHeight="1">
      <c r="A4" s="79" t="s">
        <v>2</v>
      </c>
      <c r="B4" s="79"/>
      <c r="C4" s="79"/>
      <c r="D4" s="79"/>
      <c r="E4" s="79"/>
      <c r="F4" s="79"/>
      <c r="G4" s="79"/>
      <c r="H4" s="79"/>
      <c r="I4" s="79"/>
      <c r="J4" s="79"/>
      <c r="K4" s="79"/>
    </row>
    <row r="5" spans="1:11" s="1" customFormat="1" ht="14.25">
      <c r="A5" s="80" t="s">
        <v>84</v>
      </c>
      <c r="B5" s="80"/>
      <c r="C5" s="80"/>
      <c r="D5" s="80"/>
      <c r="E5" s="80"/>
      <c r="F5" s="80"/>
      <c r="G5" s="80"/>
      <c r="H5" s="80"/>
      <c r="I5" s="80"/>
      <c r="J5" s="80"/>
      <c r="K5" s="80"/>
    </row>
    <row r="6" spans="1:11" s="1" customFormat="1" ht="14.25">
      <c r="A6" s="2"/>
      <c r="B6" s="2"/>
      <c r="C6" s="2"/>
      <c r="D6" s="2"/>
      <c r="E6" s="2"/>
      <c r="F6" s="2"/>
      <c r="G6" s="2"/>
      <c r="H6" s="2"/>
      <c r="I6" s="2"/>
      <c r="J6" s="2"/>
      <c r="K6" s="2"/>
    </row>
    <row r="7" spans="1:11" s="1" customFormat="1" ht="12.75">
      <c r="A7" s="3"/>
      <c r="B7" s="4"/>
      <c r="C7" s="4"/>
      <c r="D7" s="4"/>
      <c r="E7" s="5"/>
      <c r="F7" s="6"/>
      <c r="G7" s="5"/>
      <c r="H7" s="5"/>
      <c r="I7" s="5"/>
      <c r="J7" s="5"/>
      <c r="K7" s="5"/>
    </row>
    <row r="8" spans="1:11" s="7" customFormat="1" ht="14.25" customHeight="1">
      <c r="A8" s="81" t="s">
        <v>124</v>
      </c>
      <c r="B8" s="82"/>
      <c r="C8" s="82"/>
      <c r="D8" s="82"/>
      <c r="E8" s="82"/>
      <c r="F8" s="82"/>
      <c r="G8" s="82"/>
      <c r="H8" s="82"/>
      <c r="I8" s="82"/>
      <c r="J8" s="82"/>
      <c r="K8" s="82"/>
    </row>
    <row r="9" spans="1:11" s="1" customFormat="1" ht="9" customHeight="1">
      <c r="A9" s="3"/>
      <c r="B9" s="4"/>
      <c r="C9" s="4"/>
      <c r="D9" s="4"/>
      <c r="E9" s="5"/>
      <c r="F9" s="6"/>
      <c r="G9" s="5"/>
      <c r="H9" s="5"/>
      <c r="I9" s="5"/>
      <c r="J9" s="5"/>
      <c r="K9" s="5"/>
    </row>
    <row r="10" spans="1:11" s="1" customFormat="1" ht="12.75">
      <c r="A10" s="3"/>
      <c r="B10" s="5"/>
      <c r="C10" s="5"/>
      <c r="D10" s="5"/>
      <c r="E10" s="5"/>
      <c r="F10" s="6"/>
      <c r="G10" s="5"/>
      <c r="H10" s="5"/>
      <c r="I10" s="83" t="s">
        <v>5</v>
      </c>
      <c r="J10" s="83"/>
      <c r="K10" s="83"/>
    </row>
    <row r="11" spans="1:11" s="1" customFormat="1" ht="12.75">
      <c r="A11" s="3"/>
      <c r="B11" s="5"/>
      <c r="C11" s="5"/>
      <c r="D11" s="5"/>
      <c r="E11" s="5"/>
      <c r="F11" s="6"/>
      <c r="G11" s="5"/>
      <c r="H11" s="5"/>
      <c r="I11" s="5"/>
      <c r="J11" s="5"/>
      <c r="K11" s="10"/>
    </row>
    <row r="12" spans="1:11" s="12" customFormat="1" ht="12">
      <c r="A12" s="9"/>
      <c r="B12" s="10" t="s">
        <v>6</v>
      </c>
      <c r="C12" s="10" t="s">
        <v>65</v>
      </c>
      <c r="D12" s="10" t="s">
        <v>6</v>
      </c>
      <c r="E12" s="10"/>
      <c r="F12" s="11" t="s">
        <v>7</v>
      </c>
      <c r="G12" s="10" t="s">
        <v>8</v>
      </c>
      <c r="H12" s="10"/>
      <c r="I12" s="10" t="s">
        <v>9</v>
      </c>
      <c r="J12" s="10" t="s">
        <v>74</v>
      </c>
      <c r="K12" s="10" t="s">
        <v>73</v>
      </c>
    </row>
    <row r="13" spans="1:11" s="12" customFormat="1" ht="12">
      <c r="A13" s="13" t="s">
        <v>11</v>
      </c>
      <c r="B13" s="8" t="s">
        <v>12</v>
      </c>
      <c r="C13" s="8" t="s">
        <v>19</v>
      </c>
      <c r="D13" s="8" t="s">
        <v>13</v>
      </c>
      <c r="E13" s="8" t="s">
        <v>14</v>
      </c>
      <c r="F13" s="14" t="s">
        <v>15</v>
      </c>
      <c r="G13" s="8" t="s">
        <v>16</v>
      </c>
      <c r="H13" s="15"/>
      <c r="I13" s="8" t="s">
        <v>17</v>
      </c>
      <c r="J13" s="8" t="s">
        <v>75</v>
      </c>
      <c r="K13" s="8" t="s">
        <v>18</v>
      </c>
    </row>
    <row r="15" spans="1:11" ht="12.75">
      <c r="A15" s="71">
        <v>44652</v>
      </c>
      <c r="B15" s="16">
        <v>35300442.29</v>
      </c>
      <c r="C15" s="16">
        <v>376622.93000000005</v>
      </c>
      <c r="D15" s="63">
        <f aca="true" t="shared" si="0" ref="D15:D26">IF(ISBLANK(B15),"",B15-C15-E15)</f>
        <v>32366659</v>
      </c>
      <c r="E15" s="16">
        <v>2557160.3599999994</v>
      </c>
      <c r="F15" s="17">
        <v>512</v>
      </c>
      <c r="G15" s="63">
        <f>_xlfn.IFERROR((E15/F15/30)," ")</f>
        <v>166.4817942708333</v>
      </c>
      <c r="I15" s="16">
        <v>869434.52</v>
      </c>
      <c r="J15" s="16">
        <v>255716.04</v>
      </c>
      <c r="K15" s="16">
        <v>1432009.7899999998</v>
      </c>
    </row>
    <row r="16" spans="1:11" ht="12.75">
      <c r="A16" s="71">
        <v>44682</v>
      </c>
      <c r="B16" s="16">
        <v>32141167.07</v>
      </c>
      <c r="C16" s="16">
        <v>335809.49999999994</v>
      </c>
      <c r="D16" s="63">
        <f>IF(ISBLANK(B16),"",B16-C16-E16)</f>
        <v>29355734.73</v>
      </c>
      <c r="E16" s="16">
        <v>2449622.840000001</v>
      </c>
      <c r="F16" s="17">
        <v>512</v>
      </c>
      <c r="G16" s="63">
        <f>_xlfn.IFERROR((E16/F16/31)," ")</f>
        <v>154.33611643145167</v>
      </c>
      <c r="I16" s="16">
        <v>832871.7500000001</v>
      </c>
      <c r="J16" s="16">
        <v>244962.31999999992</v>
      </c>
      <c r="K16" s="16">
        <v>1371788.7900000003</v>
      </c>
    </row>
    <row r="17" spans="1:11" ht="12.75">
      <c r="A17" s="71">
        <v>44713</v>
      </c>
      <c r="B17" s="16">
        <v>32345038.329999987</v>
      </c>
      <c r="C17" s="73">
        <v>384169.6</v>
      </c>
      <c r="D17" s="63">
        <f>IF(ISBLANK(B17),"",B17-C17-E17)</f>
        <v>29544552.409999985</v>
      </c>
      <c r="E17" s="16">
        <v>2416316.32</v>
      </c>
      <c r="F17" s="17">
        <v>512</v>
      </c>
      <c r="G17" s="63">
        <f aca="true" t="shared" si="1" ref="G17:G22">_xlfn.IFERROR((E17/F17/30)," ")</f>
        <v>157.31226041666665</v>
      </c>
      <c r="I17" s="16">
        <v>821547.5700000001</v>
      </c>
      <c r="J17" s="16">
        <v>241631.64000000007</v>
      </c>
      <c r="K17" s="16">
        <v>1353137.1400000001</v>
      </c>
    </row>
    <row r="18" spans="1:11" ht="12.75">
      <c r="A18" s="71">
        <v>44743</v>
      </c>
      <c r="B18" s="16">
        <v>36514731.25</v>
      </c>
      <c r="C18" s="16">
        <v>411805.02</v>
      </c>
      <c r="D18" s="63">
        <f>IF(ISBLANK(B18),"",B18-C18-E18)</f>
        <v>33483986.109999996</v>
      </c>
      <c r="E18" s="16">
        <v>2618940.12</v>
      </c>
      <c r="F18" s="17">
        <v>512</v>
      </c>
      <c r="G18" s="63">
        <f>_xlfn.IFERROR((E18/F18/31)," ")</f>
        <v>165.00378780241937</v>
      </c>
      <c r="I18" s="16">
        <v>890439.6500000003</v>
      </c>
      <c r="J18" s="16">
        <v>261894.03000000003</v>
      </c>
      <c r="K18" s="16">
        <v>1466606.4900000002</v>
      </c>
    </row>
    <row r="19" spans="1:11" ht="12.75">
      <c r="A19" s="71">
        <v>44774</v>
      </c>
      <c r="B19" s="16">
        <v>34519832.78999999</v>
      </c>
      <c r="C19" s="16">
        <v>383988.2899999999</v>
      </c>
      <c r="D19" s="63">
        <f>IF(ISBLANK(B19),"",B19-C19-E19)</f>
        <v>31628831.569999993</v>
      </c>
      <c r="E19" s="16">
        <v>2507012.9300000006</v>
      </c>
      <c r="F19" s="17">
        <v>512</v>
      </c>
      <c r="G19" s="63">
        <f>_xlfn.IFERROR((E19/F19/31)," ")</f>
        <v>157.95192351310487</v>
      </c>
      <c r="I19" s="16">
        <v>852384.3799999999</v>
      </c>
      <c r="J19" s="16">
        <v>250701.32000000004</v>
      </c>
      <c r="K19" s="16">
        <v>1403927.25</v>
      </c>
    </row>
    <row r="20" spans="1:11" ht="12.75">
      <c r="A20" s="71">
        <v>44805</v>
      </c>
      <c r="B20" s="16">
        <v>32237913.290000007</v>
      </c>
      <c r="C20" s="16">
        <v>340375.4000000001</v>
      </c>
      <c r="D20" s="63">
        <f t="shared" si="0"/>
        <v>29413730.890000008</v>
      </c>
      <c r="E20" s="16">
        <v>2483807.0000000005</v>
      </c>
      <c r="F20" s="17">
        <v>512</v>
      </c>
      <c r="G20" s="63">
        <f t="shared" si="1"/>
        <v>161.70618489583336</v>
      </c>
      <c r="I20" s="16">
        <v>844494.39</v>
      </c>
      <c r="J20" s="16">
        <v>248380.69000000006</v>
      </c>
      <c r="K20" s="16">
        <v>1390931.9</v>
      </c>
    </row>
    <row r="21" spans="1:11" ht="12.75">
      <c r="A21" s="71">
        <v>44835</v>
      </c>
      <c r="B21" s="16">
        <v>33403471.28000001</v>
      </c>
      <c r="C21" s="16">
        <v>399633.17</v>
      </c>
      <c r="D21" s="63">
        <f t="shared" si="0"/>
        <v>30582502.340000007</v>
      </c>
      <c r="E21" s="16">
        <v>2421335.7700000005</v>
      </c>
      <c r="F21" s="17">
        <v>512</v>
      </c>
      <c r="G21" s="63">
        <f>_xlfn.IFERROR((E21/F21/31)," ")</f>
        <v>152.5539169606855</v>
      </c>
      <c r="I21" s="16">
        <v>823254.1900000002</v>
      </c>
      <c r="J21" s="16">
        <v>242133.58</v>
      </c>
      <c r="K21" s="16">
        <v>1355948.0399999998</v>
      </c>
    </row>
    <row r="22" spans="1:11" ht="12.75">
      <c r="A22" s="71">
        <v>44866</v>
      </c>
      <c r="B22" s="16">
        <v>30342300.96000001</v>
      </c>
      <c r="C22" s="16">
        <v>365465.48</v>
      </c>
      <c r="D22" s="63">
        <f t="shared" si="0"/>
        <v>27869335.910000008</v>
      </c>
      <c r="E22" s="16">
        <v>2107499.57</v>
      </c>
      <c r="F22" s="17">
        <v>512</v>
      </c>
      <c r="G22" s="63">
        <f t="shared" si="1"/>
        <v>137.20700325520832</v>
      </c>
      <c r="I22" s="16">
        <v>716549.8400000001</v>
      </c>
      <c r="J22" s="16">
        <v>210749.98</v>
      </c>
      <c r="K22" s="16">
        <v>1180199.7599999998</v>
      </c>
    </row>
    <row r="23" spans="1:11" ht="12.75">
      <c r="A23" s="71">
        <v>44896</v>
      </c>
      <c r="B23" s="16">
        <v>29556398.040000003</v>
      </c>
      <c r="C23" s="16">
        <v>344821.64</v>
      </c>
      <c r="D23" s="63">
        <f t="shared" si="0"/>
        <v>27102556.000000004</v>
      </c>
      <c r="E23" s="16">
        <v>2109020.4</v>
      </c>
      <c r="F23" s="17">
        <v>512</v>
      </c>
      <c r="G23" s="63">
        <f>_xlfn.IFERROR((E23/F23/31)," ")</f>
        <v>132.87678931451612</v>
      </c>
      <c r="I23" s="16">
        <v>717066.9499999998</v>
      </c>
      <c r="J23" s="16">
        <v>210902.03999999995</v>
      </c>
      <c r="K23" s="16">
        <v>1181051.4500000002</v>
      </c>
    </row>
    <row r="24" spans="1:11" ht="12.75">
      <c r="A24" s="71">
        <v>44927</v>
      </c>
      <c r="B24" s="16">
        <v>32616333.47</v>
      </c>
      <c r="C24" s="16">
        <v>382172.5900000001</v>
      </c>
      <c r="D24" s="63">
        <f t="shared" si="0"/>
        <v>29782988.779999997</v>
      </c>
      <c r="E24" s="16">
        <v>2451172.1000000006</v>
      </c>
      <c r="F24" s="17">
        <v>510</v>
      </c>
      <c r="G24" s="63">
        <f>_xlfn.IFERROR((E24/F24/31)," ")</f>
        <v>155.03934851359904</v>
      </c>
      <c r="I24" s="16">
        <v>833398.5399999999</v>
      </c>
      <c r="J24" s="16">
        <v>245117.22000000006</v>
      </c>
      <c r="K24" s="16">
        <v>1372656.3800000001</v>
      </c>
    </row>
    <row r="25" spans="1:11" ht="12.75">
      <c r="A25" s="71">
        <v>44958</v>
      </c>
      <c r="B25" s="16">
        <v>33246172.31</v>
      </c>
      <c r="C25" s="16">
        <v>384136.55</v>
      </c>
      <c r="D25" s="63">
        <f t="shared" si="0"/>
        <v>30577649.939999998</v>
      </c>
      <c r="E25" s="16">
        <v>2284385.8200000003</v>
      </c>
      <c r="F25" s="17">
        <v>512</v>
      </c>
      <c r="G25" s="63">
        <f>_xlfn.IFERROR((E25/F25/28)," ")</f>
        <v>159.34610909598217</v>
      </c>
      <c r="I25" s="16">
        <v>776691.1699999999</v>
      </c>
      <c r="J25" s="16">
        <v>228438.59999999995</v>
      </c>
      <c r="K25" s="16">
        <v>1279256.09</v>
      </c>
    </row>
    <row r="26" spans="1:11" ht="12.75">
      <c r="A26" s="71">
        <v>44986</v>
      </c>
      <c r="B26" s="16">
        <v>37793397.65</v>
      </c>
      <c r="C26" s="16">
        <v>399837.6</v>
      </c>
      <c r="D26" s="63">
        <f t="shared" si="0"/>
        <v>34528718.3</v>
      </c>
      <c r="E26" s="16">
        <v>2864841.7500000005</v>
      </c>
      <c r="F26" s="17">
        <v>512</v>
      </c>
      <c r="G26" s="63">
        <f>_xlfn.IFERROR((E26/F26/31)," ")</f>
        <v>180.49658203125003</v>
      </c>
      <c r="I26" s="16">
        <v>974046.2100000001</v>
      </c>
      <c r="J26" s="16">
        <v>286484.17000000004</v>
      </c>
      <c r="K26" s="16">
        <v>1604311.4</v>
      </c>
    </row>
    <row r="27" spans="1:11" ht="13.5" thickBot="1">
      <c r="A27" s="60" t="s">
        <v>20</v>
      </c>
      <c r="B27" s="61">
        <f>SUM(B15:B26)</f>
        <v>400017198.72999996</v>
      </c>
      <c r="C27" s="75">
        <f>SUM(C15:C26)</f>
        <v>4508837.77</v>
      </c>
      <c r="D27" s="61">
        <f>SUM(D15:D26)</f>
        <v>366237245.98</v>
      </c>
      <c r="E27" s="61">
        <f>SUM(E15:E26)</f>
        <v>29271114.98</v>
      </c>
      <c r="F27" s="72">
        <f>SUM(F15:F26)/COUNT(F15:F26)</f>
        <v>511.8333333333333</v>
      </c>
      <c r="G27" s="61">
        <f>AVERAGE(G15:G26)</f>
        <v>156.6926513751292</v>
      </c>
      <c r="H27" s="33"/>
      <c r="I27" s="61">
        <f>SUM(I15:I26)</f>
        <v>9952179.16</v>
      </c>
      <c r="J27" s="61">
        <f>SUM(J15:J26)</f>
        <v>2927111.6300000004</v>
      </c>
      <c r="K27" s="61">
        <f>SUM(K15:K26)</f>
        <v>16391824.48</v>
      </c>
    </row>
    <row r="28" spans="2:11" ht="10.5" customHeight="1" thickTop="1">
      <c r="B28" s="19"/>
      <c r="C28" s="74"/>
      <c r="D28" s="19"/>
      <c r="E28" s="19"/>
      <c r="I28" s="19"/>
      <c r="J28" s="19"/>
      <c r="K28" s="19"/>
    </row>
    <row r="29" spans="1:11" s="22" customFormat="1" ht="12.75">
      <c r="A29" s="20"/>
      <c r="B29" s="21"/>
      <c r="C29" s="76">
        <f>_xlfn.IFERROR(C27/B27,"")</f>
        <v>0.011271609781566754</v>
      </c>
      <c r="D29" s="21">
        <f>_xlfn.IFERROR(D27/B27,"")</f>
        <v>0.9155537490456743</v>
      </c>
      <c r="E29" s="21">
        <f>_xlfn.IFERROR(E27/B27,"")</f>
        <v>0.07317464117275907</v>
      </c>
      <c r="I29" s="21">
        <f>_xlfn.IFERROR(I27/$E$27,"")</f>
        <v>0.34000000228211325</v>
      </c>
      <c r="J29" s="21">
        <f>_xlfn.IFERROR(J27/$E$27,"")</f>
        <v>0.10000000450956516</v>
      </c>
      <c r="K29" s="21">
        <f>_xlfn.IFERROR(K27/$E$27,"")</f>
        <v>0.5600000031156995</v>
      </c>
    </row>
    <row r="31" spans="1:11" s="23" customFormat="1" ht="12.75">
      <c r="A31" s="81" t="s">
        <v>21</v>
      </c>
      <c r="B31" s="82"/>
      <c r="C31" s="82"/>
      <c r="D31" s="82"/>
      <c r="E31" s="82"/>
      <c r="F31" s="82"/>
      <c r="G31" s="82"/>
      <c r="H31" s="82"/>
      <c r="I31" s="82"/>
      <c r="J31" s="82"/>
      <c r="K31" s="82"/>
    </row>
    <row r="32" ht="12.75">
      <c r="A32" s="24"/>
    </row>
    <row r="33" spans="1:11" s="45" customFormat="1" ht="12.75" customHeight="1">
      <c r="A33" s="41" t="s">
        <v>22</v>
      </c>
      <c r="B33" s="42"/>
      <c r="C33" s="43" t="s">
        <v>87</v>
      </c>
      <c r="D33" s="44"/>
      <c r="E33" s="44"/>
      <c r="F33" s="44"/>
      <c r="G33" s="44"/>
      <c r="H33" s="44"/>
      <c r="I33" s="44"/>
      <c r="J33" s="44"/>
      <c r="K33" s="44"/>
    </row>
    <row r="34" spans="1:11" s="45" customFormat="1" ht="12.75" customHeight="1">
      <c r="A34" s="41"/>
      <c r="B34" s="42"/>
      <c r="C34" s="43" t="s">
        <v>88</v>
      </c>
      <c r="D34" s="44"/>
      <c r="E34" s="44"/>
      <c r="F34" s="44"/>
      <c r="G34" s="44"/>
      <c r="H34" s="44"/>
      <c r="I34" s="44"/>
      <c r="J34" s="44"/>
      <c r="K34" s="44"/>
    </row>
    <row r="35" spans="1:11" s="45" customFormat="1" ht="6" customHeight="1">
      <c r="A35" s="41"/>
      <c r="B35" s="42"/>
      <c r="C35" s="43"/>
      <c r="E35" s="44"/>
      <c r="F35" s="44"/>
      <c r="G35" s="44"/>
      <c r="H35" s="44"/>
      <c r="I35" s="44"/>
      <c r="J35" s="44"/>
      <c r="K35" s="44"/>
    </row>
    <row r="36" spans="1:11" ht="12.75">
      <c r="A36" s="25" t="s">
        <v>90</v>
      </c>
      <c r="B36" s="26"/>
      <c r="C36" s="26" t="s">
        <v>79</v>
      </c>
      <c r="F36" s="26"/>
      <c r="G36" s="26"/>
      <c r="H36" s="26"/>
      <c r="I36" s="26"/>
      <c r="J36" s="26"/>
      <c r="K36" s="26"/>
    </row>
    <row r="37" spans="1:11" s="45" customFormat="1" ht="6" customHeight="1">
      <c r="A37" s="41"/>
      <c r="B37" s="42"/>
      <c r="C37" s="43"/>
      <c r="E37" s="46"/>
      <c r="F37" s="43"/>
      <c r="G37" s="43"/>
      <c r="H37" s="43"/>
      <c r="I37" s="43"/>
      <c r="J37" s="42"/>
      <c r="K37" s="42"/>
    </row>
    <row r="38" spans="1:11" s="45" customFormat="1" ht="12.75">
      <c r="A38" s="41" t="s">
        <v>23</v>
      </c>
      <c r="B38" s="42"/>
      <c r="C38" s="43" t="s">
        <v>94</v>
      </c>
      <c r="E38" s="46"/>
      <c r="F38" s="43"/>
      <c r="G38" s="43"/>
      <c r="H38" s="43"/>
      <c r="I38" s="43"/>
      <c r="J38" s="42"/>
      <c r="K38" s="42"/>
    </row>
    <row r="39" spans="1:11" s="45" customFormat="1" ht="6" customHeight="1">
      <c r="A39" s="41"/>
      <c r="B39" s="42"/>
      <c r="C39" s="43"/>
      <c r="E39" s="46"/>
      <c r="F39" s="43"/>
      <c r="G39" s="43"/>
      <c r="H39" s="43"/>
      <c r="I39" s="43"/>
      <c r="J39" s="42"/>
      <c r="K39" s="42"/>
    </row>
    <row r="40" spans="1:11" s="45" customFormat="1" ht="12.75">
      <c r="A40" s="41" t="s">
        <v>25</v>
      </c>
      <c r="B40" s="42"/>
      <c r="C40" s="42" t="s">
        <v>55</v>
      </c>
      <c r="E40" s="46"/>
      <c r="F40" s="47"/>
      <c r="G40" s="42"/>
      <c r="H40" s="42"/>
      <c r="I40" s="42"/>
      <c r="J40" s="42"/>
      <c r="K40" s="42"/>
    </row>
    <row r="41" spans="1:11" s="45" customFormat="1" ht="12.75">
      <c r="A41" s="41"/>
      <c r="B41" s="42"/>
      <c r="C41" s="42" t="s">
        <v>56</v>
      </c>
      <c r="E41" s="46"/>
      <c r="F41" s="47"/>
      <c r="G41" s="42"/>
      <c r="H41" s="42"/>
      <c r="I41" s="42"/>
      <c r="J41" s="42"/>
      <c r="K41" s="42"/>
    </row>
    <row r="42" spans="1:11" s="45" customFormat="1" ht="6" customHeight="1">
      <c r="A42" s="41"/>
      <c r="B42" s="42"/>
      <c r="C42" s="42"/>
      <c r="E42" s="46"/>
      <c r="F42" s="47"/>
      <c r="G42" s="42"/>
      <c r="H42" s="42"/>
      <c r="I42" s="42"/>
      <c r="J42" s="42"/>
      <c r="K42" s="42"/>
    </row>
    <row r="43" spans="1:11" s="45" customFormat="1" ht="12.75">
      <c r="A43" s="41" t="s">
        <v>28</v>
      </c>
      <c r="B43" s="42"/>
      <c r="C43" s="42" t="s">
        <v>29</v>
      </c>
      <c r="E43" s="46"/>
      <c r="F43" s="47"/>
      <c r="G43" s="42"/>
      <c r="H43" s="42"/>
      <c r="I43" s="42"/>
      <c r="J43" s="42"/>
      <c r="K43" s="42"/>
    </row>
    <row r="44" spans="1:11" s="45" customFormat="1" ht="6" customHeight="1">
      <c r="A44" s="41"/>
      <c r="B44" s="42"/>
      <c r="C44" s="42"/>
      <c r="D44" s="42"/>
      <c r="E44" s="46"/>
      <c r="F44" s="47"/>
      <c r="G44" s="42"/>
      <c r="H44" s="42"/>
      <c r="I44" s="42"/>
      <c r="J44" s="42"/>
      <c r="K44" s="42"/>
    </row>
    <row r="45" spans="1:11" s="45" customFormat="1" ht="12.75">
      <c r="A45" s="41" t="s">
        <v>68</v>
      </c>
      <c r="B45" s="42"/>
      <c r="C45" s="42" t="s">
        <v>69</v>
      </c>
      <c r="D45" s="46"/>
      <c r="E45" s="47"/>
      <c r="F45" s="42"/>
      <c r="G45" s="42"/>
      <c r="H45" s="42"/>
      <c r="I45" s="42"/>
      <c r="J45" s="42"/>
      <c r="K45" s="42"/>
    </row>
    <row r="46" spans="1:11" s="45" customFormat="1" ht="12.75">
      <c r="A46" s="41"/>
      <c r="B46" s="42"/>
      <c r="C46" s="42" t="s">
        <v>76</v>
      </c>
      <c r="D46" s="46"/>
      <c r="E46" s="47"/>
      <c r="F46" s="42"/>
      <c r="G46" s="42"/>
      <c r="H46" s="42"/>
      <c r="I46" s="42"/>
      <c r="J46" s="42"/>
      <c r="K46" s="42"/>
    </row>
    <row r="47" spans="1:11" s="45" customFormat="1" ht="12.75">
      <c r="A47" s="41"/>
      <c r="B47" s="42"/>
      <c r="C47" s="42" t="s">
        <v>77</v>
      </c>
      <c r="D47" s="46"/>
      <c r="E47" s="47"/>
      <c r="F47" s="42"/>
      <c r="G47" s="42"/>
      <c r="H47" s="42"/>
      <c r="I47" s="42"/>
      <c r="J47" s="42"/>
      <c r="K47" s="42"/>
    </row>
    <row r="48" spans="1:11" s="45" customFormat="1" ht="3" customHeight="1">
      <c r="A48" s="41"/>
      <c r="B48" s="42"/>
      <c r="C48" s="42"/>
      <c r="D48" s="65"/>
      <c r="E48" s="47"/>
      <c r="F48" s="42"/>
      <c r="G48" s="42"/>
      <c r="H48" s="42"/>
      <c r="I48" s="42"/>
      <c r="J48" s="42"/>
      <c r="K48" s="42"/>
    </row>
    <row r="49" spans="1:11" s="45" customFormat="1" ht="12.75" customHeight="1">
      <c r="A49" s="41"/>
      <c r="B49" s="42"/>
      <c r="C49" s="43" t="s">
        <v>115</v>
      </c>
      <c r="D49" s="43"/>
      <c r="E49" s="43"/>
      <c r="F49" s="43"/>
      <c r="G49" s="43"/>
      <c r="H49" s="43"/>
      <c r="I49" s="43"/>
      <c r="J49" s="43"/>
      <c r="K49" s="43"/>
    </row>
    <row r="50" spans="1:11" s="45" customFormat="1" ht="12.75">
      <c r="A50" s="41"/>
      <c r="B50" s="42"/>
      <c r="C50" s="43" t="s">
        <v>116</v>
      </c>
      <c r="D50" s="43"/>
      <c r="E50" s="43"/>
      <c r="F50" s="43"/>
      <c r="G50" s="43"/>
      <c r="H50" s="43"/>
      <c r="I50" s="43"/>
      <c r="J50" s="43"/>
      <c r="K50" s="43"/>
    </row>
    <row r="51" spans="1:11" s="45" customFormat="1" ht="12.75">
      <c r="A51" s="41"/>
      <c r="B51" s="42"/>
      <c r="C51" s="43" t="s">
        <v>117</v>
      </c>
      <c r="D51" s="43"/>
      <c r="E51" s="43"/>
      <c r="F51" s="43"/>
      <c r="G51" s="43"/>
      <c r="H51" s="43"/>
      <c r="I51" s="43"/>
      <c r="J51" s="43"/>
      <c r="K51" s="43"/>
    </row>
    <row r="52" spans="1:11" s="45" customFormat="1" ht="6" customHeight="1">
      <c r="A52" s="41"/>
      <c r="B52" s="42"/>
      <c r="C52" s="42"/>
      <c r="D52" s="42"/>
      <c r="E52" s="46"/>
      <c r="F52" s="47"/>
      <c r="G52" s="42"/>
      <c r="H52" s="42"/>
      <c r="I52" s="42"/>
      <c r="J52" s="42"/>
      <c r="K52" s="42"/>
    </row>
    <row r="53" spans="1:11" s="45" customFormat="1" ht="12.75">
      <c r="A53" s="41" t="s">
        <v>78</v>
      </c>
      <c r="B53" s="42"/>
      <c r="C53" s="42" t="s">
        <v>71</v>
      </c>
      <c r="D53" s="46"/>
      <c r="E53" s="47"/>
      <c r="F53" s="42"/>
      <c r="G53" s="42"/>
      <c r="H53" s="42"/>
      <c r="I53" s="42"/>
      <c r="J53" s="42"/>
      <c r="K53" s="42"/>
    </row>
    <row r="54" spans="1:11" s="45" customFormat="1" ht="12.75">
      <c r="A54" s="48"/>
      <c r="B54" s="42"/>
      <c r="C54" s="42" t="s">
        <v>72</v>
      </c>
      <c r="D54" s="46"/>
      <c r="E54" s="47"/>
      <c r="F54" s="42"/>
      <c r="G54" s="42"/>
      <c r="H54" s="42"/>
      <c r="I54" s="42"/>
      <c r="J54" s="42"/>
      <c r="K54" s="42"/>
    </row>
    <row r="55" spans="1:11" s="45" customFormat="1" ht="12.75">
      <c r="A55" s="41"/>
      <c r="B55" s="42"/>
      <c r="C55" s="42"/>
      <c r="E55" s="46"/>
      <c r="F55" s="47"/>
      <c r="G55" s="42"/>
      <c r="H55" s="42"/>
      <c r="I55" s="42"/>
      <c r="J55" s="42"/>
      <c r="K55" s="42"/>
    </row>
    <row r="56" spans="1:11" s="45" customFormat="1" ht="12.75">
      <c r="A56" s="41" t="s">
        <v>118</v>
      </c>
      <c r="B56" s="16"/>
      <c r="C56" s="64" t="s">
        <v>119</v>
      </c>
      <c r="D56" s="16"/>
      <c r="E56" s="16"/>
      <c r="F56" s="17"/>
      <c r="G56" s="16"/>
      <c r="H56" s="16"/>
      <c r="I56" s="16"/>
      <c r="J56" s="16"/>
      <c r="K56" s="16"/>
    </row>
    <row r="57" spans="1:11" s="45" customFormat="1" ht="12.75">
      <c r="A57" s="3"/>
      <c r="B57" s="16"/>
      <c r="C57" s="66"/>
      <c r="D57" s="16"/>
      <c r="E57" s="16"/>
      <c r="F57" s="17"/>
      <c r="G57" s="16"/>
      <c r="H57" s="16"/>
      <c r="I57" s="16"/>
      <c r="J57" s="16"/>
      <c r="K57" s="16"/>
    </row>
    <row r="58" spans="1:11" s="45" customFormat="1" ht="12.75">
      <c r="A58" s="41" t="s">
        <v>103</v>
      </c>
      <c r="B58" s="42"/>
      <c r="C58" s="23" t="s">
        <v>104</v>
      </c>
      <c r="E58" s="46"/>
      <c r="F58" s="47"/>
      <c r="G58" s="42"/>
      <c r="H58" s="42"/>
      <c r="I58" s="42"/>
      <c r="J58" s="42"/>
      <c r="K58" s="42"/>
    </row>
    <row r="59" spans="1:11" s="45" customFormat="1" ht="12.75">
      <c r="A59" s="48"/>
      <c r="B59" s="42"/>
      <c r="C59" s="16" t="s">
        <v>105</v>
      </c>
      <c r="E59" s="46"/>
      <c r="F59" s="47"/>
      <c r="G59" s="42"/>
      <c r="H59" s="42"/>
      <c r="I59" s="42"/>
      <c r="J59" s="42"/>
      <c r="K59" s="42"/>
    </row>
    <row r="60" spans="1:11" ht="12.75">
      <c r="A60" s="28"/>
      <c r="B60" s="26"/>
      <c r="C60" s="26"/>
      <c r="D60" s="26"/>
      <c r="F60" s="27"/>
      <c r="G60" s="26"/>
      <c r="H60" s="26"/>
      <c r="I60" s="26"/>
      <c r="J60" s="26"/>
      <c r="K60" s="26"/>
    </row>
    <row r="61" spans="1:11" ht="12.75">
      <c r="A61" s="81" t="s">
        <v>31</v>
      </c>
      <c r="B61" s="82"/>
      <c r="C61" s="82"/>
      <c r="D61" s="82"/>
      <c r="E61" s="82"/>
      <c r="F61" s="82"/>
      <c r="G61" s="82"/>
      <c r="H61" s="82"/>
      <c r="I61" s="82"/>
      <c r="J61" s="82"/>
      <c r="K61" s="82"/>
    </row>
    <row r="62" ht="12.75">
      <c r="A62" s="24"/>
    </row>
    <row r="63" spans="1:9" ht="13.5">
      <c r="A63" s="32"/>
      <c r="D63" s="10" t="s">
        <v>9</v>
      </c>
      <c r="E63" s="53" t="s">
        <v>74</v>
      </c>
      <c r="F63" s="83" t="s">
        <v>83</v>
      </c>
      <c r="G63" s="83"/>
      <c r="H63" s="83"/>
      <c r="I63" s="83"/>
    </row>
    <row r="64" spans="1:9" ht="12.75">
      <c r="A64" s="35"/>
      <c r="D64" s="8" t="s">
        <v>17</v>
      </c>
      <c r="E64" s="54" t="s">
        <v>75</v>
      </c>
      <c r="F64" s="8" t="s">
        <v>80</v>
      </c>
      <c r="G64" s="57" t="s">
        <v>81</v>
      </c>
      <c r="H64" s="36"/>
      <c r="I64" s="8" t="s">
        <v>82</v>
      </c>
    </row>
    <row r="65" spans="2:9" ht="12.75">
      <c r="B65" s="37"/>
      <c r="C65" s="37"/>
      <c r="D65" s="55">
        <f>27.6%+6.4%</f>
        <v>0.34</v>
      </c>
      <c r="E65" s="55">
        <v>0.1</v>
      </c>
      <c r="F65" s="55">
        <v>0.46</v>
      </c>
      <c r="G65" s="58">
        <v>0.0875</v>
      </c>
      <c r="H65" s="56"/>
      <c r="I65" s="55">
        <v>0.0125</v>
      </c>
    </row>
    <row r="66" spans="1:11" s="23" customFormat="1" ht="12.75">
      <c r="A66" s="3"/>
      <c r="B66" s="37"/>
      <c r="C66" s="37"/>
      <c r="D66" s="37"/>
      <c r="E66" s="26"/>
      <c r="F66" s="27"/>
      <c r="G66" s="38"/>
      <c r="H66" s="26"/>
      <c r="I66" s="38"/>
      <c r="J66" s="38"/>
      <c r="K66" s="38"/>
    </row>
    <row r="67" spans="1:11" ht="12.75">
      <c r="A67" s="84" t="s">
        <v>39</v>
      </c>
      <c r="B67" s="85"/>
      <c r="C67" s="85"/>
      <c r="D67" s="85"/>
      <c r="E67" s="85"/>
      <c r="F67" s="85"/>
      <c r="G67" s="85"/>
      <c r="H67" s="85"/>
      <c r="I67" s="85"/>
      <c r="J67" s="85"/>
      <c r="K67" s="85"/>
    </row>
    <row r="68" spans="1:6" ht="9.75" customHeight="1">
      <c r="A68" s="24"/>
      <c r="E68"/>
      <c r="F68" s="16"/>
    </row>
    <row r="69" spans="1:11" ht="54" customHeight="1">
      <c r="A69" s="86" t="s">
        <v>125</v>
      </c>
      <c r="B69" s="87"/>
      <c r="C69" s="87"/>
      <c r="D69" s="87"/>
      <c r="E69" s="87"/>
      <c r="F69" s="87"/>
      <c r="G69" s="87"/>
      <c r="H69" s="87"/>
      <c r="I69" s="87"/>
      <c r="J69" s="87"/>
      <c r="K69" s="87"/>
    </row>
    <row r="70" spans="1:6" ht="12.75">
      <c r="A70" s="16"/>
      <c r="E70"/>
      <c r="F70" s="16"/>
    </row>
    <row r="71" spans="2:5" ht="12.75">
      <c r="B71" s="24" t="s">
        <v>40</v>
      </c>
      <c r="C71" s="24"/>
      <c r="D71" s="24"/>
      <c r="E71" s="16">
        <v>137103</v>
      </c>
    </row>
    <row r="72" spans="2:5" ht="12.75">
      <c r="B72" s="24" t="s">
        <v>41</v>
      </c>
      <c r="C72" s="24"/>
      <c r="D72" s="24"/>
      <c r="E72" s="16">
        <v>231788</v>
      </c>
    </row>
    <row r="73" spans="2:5" ht="12.75">
      <c r="B73" s="16" t="s">
        <v>42</v>
      </c>
      <c r="E73" s="16">
        <v>256796</v>
      </c>
    </row>
    <row r="74" ht="7.5" customHeight="1">
      <c r="E74" s="16" t="s">
        <v>36</v>
      </c>
    </row>
    <row r="76" spans="1:11" s="70" customFormat="1" ht="16.5" customHeight="1">
      <c r="A76" s="67" t="s">
        <v>91</v>
      </c>
      <c r="B76" s="68"/>
      <c r="C76" s="68"/>
      <c r="D76" s="68"/>
      <c r="E76" s="68"/>
      <c r="F76" s="69"/>
      <c r="G76" s="68"/>
      <c r="H76" s="68"/>
      <c r="I76" s="68"/>
      <c r="J76" s="68"/>
      <c r="K76" s="68"/>
    </row>
  </sheetData>
  <sheetProtection/>
  <mergeCells count="12">
    <mergeCell ref="I10:K10"/>
    <mergeCell ref="A31:K31"/>
    <mergeCell ref="A61:K61"/>
    <mergeCell ref="F63:I63"/>
    <mergeCell ref="A67:K67"/>
    <mergeCell ref="A69:K69"/>
    <mergeCell ref="A1:K1"/>
    <mergeCell ref="A2:K2"/>
    <mergeCell ref="A3:K3"/>
    <mergeCell ref="A4:K4"/>
    <mergeCell ref="A5:K5"/>
    <mergeCell ref="A8:K8"/>
  </mergeCells>
  <hyperlinks>
    <hyperlink ref="A4" r:id="rId1" display="www.vernondowns.com"/>
  </hyperlinks>
  <printOptions horizontalCentered="1"/>
  <pageMargins left="0.25" right="0.25" top="0.75" bottom="0.5" header="0.5" footer="0.5"/>
  <pageSetup fitToHeight="1" fitToWidth="1" horizontalDpi="600" verticalDpi="600" orientation="portrait" scale="75" r:id="rId3"/>
  <ignoredErrors>
    <ignoredError sqref="G16:G25" formula="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1">
      <selection activeCell="B29" sqref="B29"/>
    </sheetView>
  </sheetViews>
  <sheetFormatPr defaultColWidth="9.140625" defaultRowHeight="12.75"/>
  <cols>
    <col min="1" max="1" width="10.57421875" style="3" customWidth="1"/>
    <col min="2" max="2" width="15.57421875" style="16" customWidth="1"/>
    <col min="3" max="3" width="13.57421875" style="16" customWidth="1"/>
    <col min="4" max="4" width="14.140625" style="16" customWidth="1"/>
    <col min="5" max="5" width="12.7109375" style="16" customWidth="1"/>
    <col min="6" max="6" width="11.421875" style="17" customWidth="1"/>
    <col min="7" max="7" width="11.421875" style="16" customWidth="1"/>
    <col min="8" max="8" width="2.421875" style="16" customWidth="1"/>
    <col min="9" max="9" width="13.00390625" style="16" customWidth="1"/>
    <col min="10" max="10" width="12.7109375" style="16" customWidth="1"/>
    <col min="11" max="11" width="12.8515625" style="16" bestFit="1" customWidth="1"/>
    <col min="12" max="12" width="12.7109375" style="0" customWidth="1"/>
  </cols>
  <sheetData>
    <row r="1" spans="1:11" ht="18">
      <c r="A1" s="77" t="s">
        <v>52</v>
      </c>
      <c r="B1" s="77"/>
      <c r="C1" s="77"/>
      <c r="D1" s="77"/>
      <c r="E1" s="77"/>
      <c r="F1" s="77"/>
      <c r="G1" s="77"/>
      <c r="H1" s="77"/>
      <c r="I1" s="77"/>
      <c r="J1" s="77"/>
      <c r="K1" s="77"/>
    </row>
    <row r="2" spans="1:11" ht="15">
      <c r="A2" s="78" t="s">
        <v>0</v>
      </c>
      <c r="B2" s="78"/>
      <c r="C2" s="78"/>
      <c r="D2" s="78"/>
      <c r="E2" s="78"/>
      <c r="F2" s="78"/>
      <c r="G2" s="78"/>
      <c r="H2" s="78"/>
      <c r="I2" s="78"/>
      <c r="J2" s="78"/>
      <c r="K2" s="78"/>
    </row>
    <row r="3" spans="1:11" s="1" customFormat="1" ht="15">
      <c r="A3" s="78" t="s">
        <v>1</v>
      </c>
      <c r="B3" s="78"/>
      <c r="C3" s="78"/>
      <c r="D3" s="78"/>
      <c r="E3" s="78"/>
      <c r="F3" s="78"/>
      <c r="G3" s="78"/>
      <c r="H3" s="78"/>
      <c r="I3" s="78"/>
      <c r="J3" s="78"/>
      <c r="K3" s="78"/>
    </row>
    <row r="4" spans="1:11" s="1" customFormat="1" ht="14.25" customHeight="1">
      <c r="A4" s="79" t="s">
        <v>2</v>
      </c>
      <c r="B4" s="79"/>
      <c r="C4" s="79"/>
      <c r="D4" s="79"/>
      <c r="E4" s="79"/>
      <c r="F4" s="79"/>
      <c r="G4" s="79"/>
      <c r="H4" s="79"/>
      <c r="I4" s="79"/>
      <c r="J4" s="79"/>
      <c r="K4" s="79"/>
    </row>
    <row r="5" spans="1:11" s="1" customFormat="1" ht="14.25">
      <c r="A5" s="80" t="s">
        <v>84</v>
      </c>
      <c r="B5" s="80"/>
      <c r="C5" s="80"/>
      <c r="D5" s="80"/>
      <c r="E5" s="80"/>
      <c r="F5" s="80"/>
      <c r="G5" s="80"/>
      <c r="H5" s="80"/>
      <c r="I5" s="80"/>
      <c r="J5" s="80"/>
      <c r="K5" s="80"/>
    </row>
    <row r="6" spans="1:11" s="1" customFormat="1" ht="14.25">
      <c r="A6" s="2"/>
      <c r="B6" s="2"/>
      <c r="C6" s="2"/>
      <c r="D6" s="2"/>
      <c r="E6" s="2"/>
      <c r="F6" s="2"/>
      <c r="G6" s="2"/>
      <c r="H6" s="2"/>
      <c r="I6" s="2"/>
      <c r="J6" s="2"/>
      <c r="K6" s="2"/>
    </row>
    <row r="7" spans="1:11" s="1" customFormat="1" ht="12.75">
      <c r="A7" s="3"/>
      <c r="B7" s="4"/>
      <c r="C7" s="4"/>
      <c r="D7" s="4"/>
      <c r="E7" s="5"/>
      <c r="F7" s="6"/>
      <c r="G7" s="5"/>
      <c r="H7" s="5"/>
      <c r="I7" s="5"/>
      <c r="J7" s="5"/>
      <c r="K7" s="5"/>
    </row>
    <row r="8" spans="1:11" s="7" customFormat="1" ht="14.25" customHeight="1">
      <c r="A8" s="81" t="s">
        <v>122</v>
      </c>
      <c r="B8" s="82"/>
      <c r="C8" s="82"/>
      <c r="D8" s="82"/>
      <c r="E8" s="82"/>
      <c r="F8" s="82"/>
      <c r="G8" s="82"/>
      <c r="H8" s="82"/>
      <c r="I8" s="82"/>
      <c r="J8" s="82"/>
      <c r="K8" s="82"/>
    </row>
    <row r="9" spans="1:11" s="1" customFormat="1" ht="9" customHeight="1">
      <c r="A9" s="3"/>
      <c r="B9" s="4"/>
      <c r="C9" s="4"/>
      <c r="D9" s="4"/>
      <c r="E9" s="5"/>
      <c r="F9" s="6"/>
      <c r="G9" s="5"/>
      <c r="H9" s="5"/>
      <c r="I9" s="5"/>
      <c r="J9" s="5"/>
      <c r="K9" s="5"/>
    </row>
    <row r="10" spans="1:11" s="1" customFormat="1" ht="12.75">
      <c r="A10" s="3"/>
      <c r="B10" s="5"/>
      <c r="C10" s="5"/>
      <c r="D10" s="5"/>
      <c r="E10" s="5"/>
      <c r="F10" s="6"/>
      <c r="G10" s="5"/>
      <c r="H10" s="5"/>
      <c r="I10" s="83" t="s">
        <v>5</v>
      </c>
      <c r="J10" s="83"/>
      <c r="K10" s="83"/>
    </row>
    <row r="11" spans="1:11" s="1" customFormat="1" ht="12.75">
      <c r="A11" s="3"/>
      <c r="B11" s="5"/>
      <c r="C11" s="5"/>
      <c r="D11" s="5"/>
      <c r="E11" s="5"/>
      <c r="F11" s="6"/>
      <c r="G11" s="5"/>
      <c r="H11" s="5"/>
      <c r="I11" s="5"/>
      <c r="J11" s="5"/>
      <c r="K11" s="10"/>
    </row>
    <row r="12" spans="1:11" s="12" customFormat="1" ht="12">
      <c r="A12" s="9"/>
      <c r="B12" s="10" t="s">
        <v>6</v>
      </c>
      <c r="C12" s="10" t="s">
        <v>65</v>
      </c>
      <c r="D12" s="10" t="s">
        <v>6</v>
      </c>
      <c r="E12" s="10"/>
      <c r="F12" s="11" t="s">
        <v>7</v>
      </c>
      <c r="G12" s="10" t="s">
        <v>8</v>
      </c>
      <c r="H12" s="10"/>
      <c r="I12" s="10" t="s">
        <v>9</v>
      </c>
      <c r="J12" s="10" t="s">
        <v>74</v>
      </c>
      <c r="K12" s="10" t="s">
        <v>73</v>
      </c>
    </row>
    <row r="13" spans="1:11" s="12" customFormat="1" ht="12">
      <c r="A13" s="13" t="s">
        <v>11</v>
      </c>
      <c r="B13" s="8" t="s">
        <v>12</v>
      </c>
      <c r="C13" s="8" t="s">
        <v>19</v>
      </c>
      <c r="D13" s="8" t="s">
        <v>13</v>
      </c>
      <c r="E13" s="8" t="s">
        <v>14</v>
      </c>
      <c r="F13" s="14" t="s">
        <v>15</v>
      </c>
      <c r="G13" s="8" t="s">
        <v>16</v>
      </c>
      <c r="H13" s="15"/>
      <c r="I13" s="8" t="s">
        <v>17</v>
      </c>
      <c r="J13" s="8" t="s">
        <v>75</v>
      </c>
      <c r="K13" s="8" t="s">
        <v>18</v>
      </c>
    </row>
    <row r="15" spans="1:11" ht="12.75">
      <c r="A15" s="71">
        <v>44287</v>
      </c>
      <c r="B15" s="16">
        <v>28776261.51</v>
      </c>
      <c r="C15" s="16">
        <v>262769.81</v>
      </c>
      <c r="D15" s="63">
        <f aca="true" t="shared" si="0" ref="D15:D26">IF(ISBLANK(B15),"",B15-C15-E15)</f>
        <v>26396678.150000002</v>
      </c>
      <c r="E15" s="16">
        <v>2116813.55</v>
      </c>
      <c r="F15" s="17">
        <v>223</v>
      </c>
      <c r="G15" s="63">
        <f>_xlfn.IFERROR((E15/F15/30)," ")</f>
        <v>316.4145814648729</v>
      </c>
      <c r="I15" s="16">
        <v>719716.63</v>
      </c>
      <c r="J15" s="16">
        <v>211681.34</v>
      </c>
      <c r="K15" s="16">
        <v>1185415.58</v>
      </c>
    </row>
    <row r="16" spans="1:11" ht="12.75">
      <c r="A16" s="71">
        <v>44317</v>
      </c>
      <c r="B16" s="16">
        <v>28742463.39</v>
      </c>
      <c r="C16" s="16">
        <v>318730.06</v>
      </c>
      <c r="D16" s="63">
        <f>IF(ISBLANK(B16),"",B16-C16-E16)</f>
        <v>26316216.64</v>
      </c>
      <c r="E16" s="16">
        <v>2107516.69</v>
      </c>
      <c r="F16" s="17">
        <v>223</v>
      </c>
      <c r="G16" s="63">
        <f>_xlfn.IFERROR((E16/F16/31)," ")</f>
        <v>304.8628222190076</v>
      </c>
      <c r="I16" s="16">
        <v>716555.6399999999</v>
      </c>
      <c r="J16" s="16">
        <v>210751.69000000003</v>
      </c>
      <c r="K16" s="16">
        <v>1180209.3800000001</v>
      </c>
    </row>
    <row r="17" spans="1:11" ht="12.75">
      <c r="A17" s="71">
        <v>44348</v>
      </c>
      <c r="B17" s="16">
        <v>28805373.439999998</v>
      </c>
      <c r="C17" s="73">
        <v>-861414.04</v>
      </c>
      <c r="D17" s="63">
        <f>IF(ISBLANK(B17),"",B17-C17-E17)</f>
        <v>26444686.659999996</v>
      </c>
      <c r="E17" s="16">
        <v>3222100.8199999994</v>
      </c>
      <c r="F17" s="17">
        <v>348</v>
      </c>
      <c r="G17" s="63">
        <f>_xlfn.IFERROR((E17/F17/30)," ")</f>
        <v>308.630346743295</v>
      </c>
      <c r="I17" s="16">
        <v>1095514.2900000003</v>
      </c>
      <c r="J17" s="16">
        <v>322210.0800000001</v>
      </c>
      <c r="K17" s="16">
        <v>1804376.4699999995</v>
      </c>
    </row>
    <row r="18" spans="1:11" ht="12.75">
      <c r="A18" s="71">
        <v>44378</v>
      </c>
      <c r="B18" s="16">
        <v>34957158.629999995</v>
      </c>
      <c r="C18" s="16">
        <v>365795.23999999993</v>
      </c>
      <c r="D18" s="63">
        <f>IF(ISBLANK(B18),"",B18-C18-E18)</f>
        <v>32031251.37999999</v>
      </c>
      <c r="E18" s="16">
        <v>2560112.0100000002</v>
      </c>
      <c r="F18" s="17">
        <v>512</v>
      </c>
      <c r="G18" s="63">
        <f>_xlfn.IFERROR((E18/F18/31)," ")</f>
        <v>161.2973796622984</v>
      </c>
      <c r="I18" s="16">
        <v>870438.1000000001</v>
      </c>
      <c r="J18" s="16">
        <v>256011.23999999996</v>
      </c>
      <c r="K18" s="16">
        <v>1433662.75</v>
      </c>
    </row>
    <row r="19" spans="1:11" ht="12.75">
      <c r="A19" s="71">
        <v>44409</v>
      </c>
      <c r="B19" s="16">
        <v>32409112.79</v>
      </c>
      <c r="C19" s="16">
        <v>388581.79999999993</v>
      </c>
      <c r="D19" s="63">
        <f>IF(ISBLANK(B19),"",B19-C19-E19)</f>
        <v>29738532.209999997</v>
      </c>
      <c r="E19" s="16">
        <v>2281998.78</v>
      </c>
      <c r="F19" s="17">
        <v>512</v>
      </c>
      <c r="G19" s="63">
        <f>_xlfn.IFERROR((E19/F19/31)," ")</f>
        <v>143.77512474798385</v>
      </c>
      <c r="I19" s="16">
        <v>775879.5851999999</v>
      </c>
      <c r="J19" s="16">
        <v>228199.87799999994</v>
      </c>
      <c r="K19" s="16">
        <v>1277919.3</v>
      </c>
    </row>
    <row r="20" spans="1:11" ht="12.75">
      <c r="A20" s="71">
        <v>44440</v>
      </c>
      <c r="B20" s="16">
        <v>32327311.59</v>
      </c>
      <c r="C20" s="16">
        <v>400752.68000000005</v>
      </c>
      <c r="D20" s="63">
        <f t="shared" si="0"/>
        <v>29630352.05</v>
      </c>
      <c r="E20" s="16">
        <v>2296206.86</v>
      </c>
      <c r="F20" s="17">
        <v>512</v>
      </c>
      <c r="G20" s="63">
        <f>_xlfn.IFERROR((E20/F20/30)," ")</f>
        <v>149.49263411458332</v>
      </c>
      <c r="I20" s="16">
        <v>780710.3324000001</v>
      </c>
      <c r="J20" s="16">
        <v>229620.68599999996</v>
      </c>
      <c r="K20" s="16">
        <v>1285875.8599999999</v>
      </c>
    </row>
    <row r="21" spans="1:11" ht="12.75">
      <c r="A21" s="71">
        <v>44470</v>
      </c>
      <c r="B21" s="16">
        <v>32543367.22</v>
      </c>
      <c r="C21" s="16">
        <v>411034.17</v>
      </c>
      <c r="D21" s="63">
        <f t="shared" si="0"/>
        <v>29776558.349999998</v>
      </c>
      <c r="E21" s="16">
        <v>2355774.7</v>
      </c>
      <c r="F21" s="17">
        <v>512</v>
      </c>
      <c r="G21" s="63">
        <f>_xlfn.IFERROR((E21/F21/31)," ")</f>
        <v>148.42330519153228</v>
      </c>
      <c r="I21" s="16">
        <v>800963.3699999999</v>
      </c>
      <c r="J21" s="16">
        <v>235577.46</v>
      </c>
      <c r="K21" s="16">
        <v>1319233.84</v>
      </c>
    </row>
    <row r="22" spans="1:11" ht="12.75">
      <c r="A22" s="71">
        <v>44501</v>
      </c>
      <c r="B22" s="16">
        <v>28386333.999999996</v>
      </c>
      <c r="C22" s="16">
        <v>343277.9999999999</v>
      </c>
      <c r="D22" s="63">
        <f t="shared" si="0"/>
        <v>26143292.119999997</v>
      </c>
      <c r="E22" s="16">
        <v>1899763.8800000008</v>
      </c>
      <c r="F22" s="17">
        <v>512</v>
      </c>
      <c r="G22" s="63">
        <f>_xlfn.IFERROR((E22/F22/30)," ")</f>
        <v>123.68254427083339</v>
      </c>
      <c r="I22" s="16">
        <v>645919.7600000001</v>
      </c>
      <c r="J22" s="16">
        <v>189976.39999999997</v>
      </c>
      <c r="K22" s="16">
        <v>1063867.7899999998</v>
      </c>
    </row>
    <row r="23" spans="1:11" ht="12.75">
      <c r="A23" s="71">
        <v>44531</v>
      </c>
      <c r="B23" s="16">
        <v>28300734.37999999</v>
      </c>
      <c r="C23" s="16">
        <v>306980.3</v>
      </c>
      <c r="D23" s="63">
        <f t="shared" si="0"/>
        <v>26033272.43999999</v>
      </c>
      <c r="E23" s="16">
        <v>1960481.64</v>
      </c>
      <c r="F23" s="17">
        <v>512</v>
      </c>
      <c r="G23" s="63">
        <f>_xlfn.IFERROR((E23/F23/31)," ")</f>
        <v>123.51824848790322</v>
      </c>
      <c r="I23" s="16">
        <v>666563.76</v>
      </c>
      <c r="J23" s="16">
        <v>196048.21000000005</v>
      </c>
      <c r="K23" s="16">
        <v>1097869.71</v>
      </c>
    </row>
    <row r="24" spans="1:11" ht="12.75">
      <c r="A24" s="71">
        <v>44562</v>
      </c>
      <c r="B24" s="16">
        <v>24591951.47</v>
      </c>
      <c r="C24" s="16">
        <v>286934.63</v>
      </c>
      <c r="D24" s="63">
        <f t="shared" si="0"/>
        <v>22564586.7</v>
      </c>
      <c r="E24" s="16">
        <v>1740430.1399999997</v>
      </c>
      <c r="F24" s="17">
        <v>512</v>
      </c>
      <c r="G24" s="63">
        <f>_xlfn.IFERROR((E24/F24/31)," ")</f>
        <v>109.65411668346772</v>
      </c>
      <c r="I24" s="16">
        <v>591746.2500000001</v>
      </c>
      <c r="J24" s="16">
        <v>174043.03999999998</v>
      </c>
      <c r="K24" s="16">
        <v>974640.9000000001</v>
      </c>
    </row>
    <row r="25" spans="1:11" ht="12.75">
      <c r="A25" s="71">
        <v>44593</v>
      </c>
      <c r="B25" s="16">
        <v>27517377.289999988</v>
      </c>
      <c r="C25" s="16">
        <v>333571.0500000001</v>
      </c>
      <c r="D25" s="63">
        <f t="shared" si="0"/>
        <v>25154255.149999987</v>
      </c>
      <c r="E25" s="16">
        <v>2029551.0900000003</v>
      </c>
      <c r="F25" s="17">
        <v>512</v>
      </c>
      <c r="G25" s="63">
        <f>_xlfn.IFERROR((E25/F25/28)," ")</f>
        <v>141.57024902343753</v>
      </c>
      <c r="I25" s="16">
        <v>690047.36</v>
      </c>
      <c r="J25" s="16">
        <v>202955.15</v>
      </c>
      <c r="K25" s="16">
        <v>1136548.6400000001</v>
      </c>
    </row>
    <row r="26" spans="1:11" ht="12.75">
      <c r="A26" s="71">
        <v>44621</v>
      </c>
      <c r="B26" s="16">
        <v>32597020.61</v>
      </c>
      <c r="C26" s="16">
        <v>395885.68999999994</v>
      </c>
      <c r="D26" s="63">
        <f t="shared" si="0"/>
        <v>29980106.89</v>
      </c>
      <c r="E26" s="16">
        <v>2221028.0299999993</v>
      </c>
      <c r="F26" s="17">
        <v>512</v>
      </c>
      <c r="G26" s="63">
        <f>_xlfn.IFERROR((E26/F26/31)," ")</f>
        <v>139.93372164818544</v>
      </c>
      <c r="I26" s="16">
        <v>755149.5599999999</v>
      </c>
      <c r="J26" s="16">
        <v>222102.79000000004</v>
      </c>
      <c r="K26" s="16">
        <v>1243775.7000000002</v>
      </c>
    </row>
    <row r="27" spans="1:11" ht="13.5" thickBot="1">
      <c r="A27" s="60" t="s">
        <v>20</v>
      </c>
      <c r="B27" s="61">
        <f>SUM(B15:B26)</f>
        <v>359954466.31999993</v>
      </c>
      <c r="C27" s="75">
        <f>SUM(C15:C26)</f>
        <v>2952899.39</v>
      </c>
      <c r="D27" s="61">
        <f>SUM(D15:D26)</f>
        <v>330209788.73999995</v>
      </c>
      <c r="E27" s="61">
        <f>SUM(E15:E26)</f>
        <v>26791778.189999998</v>
      </c>
      <c r="F27" s="72">
        <f>SUM(F15:F26)/COUNT(F15:F26)</f>
        <v>450.1666666666667</v>
      </c>
      <c r="G27" s="61">
        <f>AVERAGE(G15:G26)</f>
        <v>180.9379228547834</v>
      </c>
      <c r="H27" s="33"/>
      <c r="I27" s="61">
        <f>SUM(I15:I26)</f>
        <v>9109204.637600001</v>
      </c>
      <c r="J27" s="61">
        <f>SUM(J15:J26)</f>
        <v>2679177.9639999997</v>
      </c>
      <c r="K27" s="61">
        <f>SUM(K15:K26)</f>
        <v>15003395.920000002</v>
      </c>
    </row>
    <row r="28" spans="2:11" ht="10.5" customHeight="1" thickTop="1">
      <c r="B28" s="19"/>
      <c r="C28" s="74"/>
      <c r="D28" s="19"/>
      <c r="E28" s="19"/>
      <c r="I28" s="19"/>
      <c r="J28" s="19"/>
      <c r="K28" s="19"/>
    </row>
    <row r="29" spans="1:11" s="22" customFormat="1" ht="12.75">
      <c r="A29" s="20"/>
      <c r="B29" s="21"/>
      <c r="C29" s="76">
        <f>_xlfn.IFERROR(C27/B27,"")</f>
        <v>0.008203535908830394</v>
      </c>
      <c r="D29" s="21">
        <f>_xlfn.IFERROR(D27/B27,"")</f>
        <v>0.9173654437904462</v>
      </c>
      <c r="E29" s="21">
        <f>_xlfn.IFERROR(E27/B27,"")</f>
        <v>0.07443102030072347</v>
      </c>
      <c r="I29" s="21">
        <f>_xlfn.IFERROR(I27/$E$27,"")</f>
        <v>0.3400000019782189</v>
      </c>
      <c r="J29" s="21">
        <f>_xlfn.IFERROR(J27/$E$27,"")</f>
        <v>0.1000000054121081</v>
      </c>
      <c r="K29" s="21">
        <f>_xlfn.IFERROR(K27/$E$27,"")</f>
        <v>0.5600000049866045</v>
      </c>
    </row>
    <row r="31" spans="1:11" s="23" customFormat="1" ht="12.75">
      <c r="A31" s="81" t="s">
        <v>21</v>
      </c>
      <c r="B31" s="82"/>
      <c r="C31" s="82"/>
      <c r="D31" s="82"/>
      <c r="E31" s="82"/>
      <c r="F31" s="82"/>
      <c r="G31" s="82"/>
      <c r="H31" s="82"/>
      <c r="I31" s="82"/>
      <c r="J31" s="82"/>
      <c r="K31" s="82"/>
    </row>
    <row r="32" ht="12.75">
      <c r="A32" s="24"/>
    </row>
    <row r="33" spans="1:11" s="45" customFormat="1" ht="12.75" customHeight="1">
      <c r="A33" s="41" t="s">
        <v>22</v>
      </c>
      <c r="B33" s="42"/>
      <c r="C33" s="43" t="s">
        <v>87</v>
      </c>
      <c r="D33" s="44"/>
      <c r="E33" s="44"/>
      <c r="F33" s="44"/>
      <c r="G33" s="44"/>
      <c r="H33" s="44"/>
      <c r="I33" s="44"/>
      <c r="J33" s="44"/>
      <c r="K33" s="44"/>
    </row>
    <row r="34" spans="1:11" s="45" customFormat="1" ht="12.75" customHeight="1">
      <c r="A34" s="41"/>
      <c r="B34" s="42"/>
      <c r="C34" s="43" t="s">
        <v>88</v>
      </c>
      <c r="D34" s="44"/>
      <c r="E34" s="44"/>
      <c r="F34" s="44"/>
      <c r="G34" s="44"/>
      <c r="H34" s="44"/>
      <c r="I34" s="44"/>
      <c r="J34" s="44"/>
      <c r="K34" s="44"/>
    </row>
    <row r="35" spans="1:11" s="45" customFormat="1" ht="6" customHeight="1">
      <c r="A35" s="41"/>
      <c r="B35" s="42"/>
      <c r="C35" s="43"/>
      <c r="E35" s="44"/>
      <c r="F35" s="44"/>
      <c r="G35" s="44"/>
      <c r="H35" s="44"/>
      <c r="I35" s="44"/>
      <c r="J35" s="44"/>
      <c r="K35" s="44"/>
    </row>
    <row r="36" spans="1:11" ht="12.75">
      <c r="A36" s="25" t="s">
        <v>90</v>
      </c>
      <c r="B36" s="26"/>
      <c r="C36" s="26" t="s">
        <v>79</v>
      </c>
      <c r="F36" s="26"/>
      <c r="G36" s="26"/>
      <c r="H36" s="26"/>
      <c r="I36" s="26"/>
      <c r="J36" s="26"/>
      <c r="K36" s="26"/>
    </row>
    <row r="37" spans="1:11" s="45" customFormat="1" ht="6" customHeight="1">
      <c r="A37" s="41"/>
      <c r="B37" s="42"/>
      <c r="C37" s="43"/>
      <c r="E37" s="46"/>
      <c r="F37" s="43"/>
      <c r="G37" s="43"/>
      <c r="H37" s="43"/>
      <c r="I37" s="43"/>
      <c r="J37" s="42"/>
      <c r="K37" s="42"/>
    </row>
    <row r="38" spans="1:11" s="45" customFormat="1" ht="12.75">
      <c r="A38" s="41" t="s">
        <v>23</v>
      </c>
      <c r="B38" s="42"/>
      <c r="C38" s="43" t="s">
        <v>94</v>
      </c>
      <c r="E38" s="46"/>
      <c r="F38" s="43"/>
      <c r="G38" s="43"/>
      <c r="H38" s="43"/>
      <c r="I38" s="43"/>
      <c r="J38" s="42"/>
      <c r="K38" s="42"/>
    </row>
    <row r="39" spans="1:11" s="45" customFormat="1" ht="6" customHeight="1">
      <c r="A39" s="41"/>
      <c r="B39" s="42"/>
      <c r="C39" s="43"/>
      <c r="E39" s="46"/>
      <c r="F39" s="43"/>
      <c r="G39" s="43"/>
      <c r="H39" s="43"/>
      <c r="I39" s="43"/>
      <c r="J39" s="42"/>
      <c r="K39" s="42"/>
    </row>
    <row r="40" spans="1:11" s="45" customFormat="1" ht="12.75">
      <c r="A40" s="41" t="s">
        <v>25</v>
      </c>
      <c r="B40" s="42"/>
      <c r="C40" s="42" t="s">
        <v>55</v>
      </c>
      <c r="E40" s="46"/>
      <c r="F40" s="47"/>
      <c r="G40" s="42"/>
      <c r="H40" s="42"/>
      <c r="I40" s="42"/>
      <c r="J40" s="42"/>
      <c r="K40" s="42"/>
    </row>
    <row r="41" spans="1:11" s="45" customFormat="1" ht="12.75">
      <c r="A41" s="41"/>
      <c r="B41" s="42"/>
      <c r="C41" s="42" t="s">
        <v>56</v>
      </c>
      <c r="E41" s="46"/>
      <c r="F41" s="47"/>
      <c r="G41" s="42"/>
      <c r="H41" s="42"/>
      <c r="I41" s="42"/>
      <c r="J41" s="42"/>
      <c r="K41" s="42"/>
    </row>
    <row r="42" spans="1:11" s="45" customFormat="1" ht="6" customHeight="1">
      <c r="A42" s="41"/>
      <c r="B42" s="42"/>
      <c r="C42" s="42"/>
      <c r="E42" s="46"/>
      <c r="F42" s="47"/>
      <c r="G42" s="42"/>
      <c r="H42" s="42"/>
      <c r="I42" s="42"/>
      <c r="J42" s="42"/>
      <c r="K42" s="42"/>
    </row>
    <row r="43" spans="1:11" s="45" customFormat="1" ht="12.75">
      <c r="A43" s="41" t="s">
        <v>28</v>
      </c>
      <c r="B43" s="42"/>
      <c r="C43" s="42" t="s">
        <v>29</v>
      </c>
      <c r="E43" s="46"/>
      <c r="F43" s="47"/>
      <c r="G43" s="42"/>
      <c r="H43" s="42"/>
      <c r="I43" s="42"/>
      <c r="J43" s="42"/>
      <c r="K43" s="42"/>
    </row>
    <row r="44" spans="1:11" s="45" customFormat="1" ht="6" customHeight="1">
      <c r="A44" s="41"/>
      <c r="B44" s="42"/>
      <c r="C44" s="42"/>
      <c r="D44" s="42"/>
      <c r="E44" s="46"/>
      <c r="F44" s="47"/>
      <c r="G44" s="42"/>
      <c r="H44" s="42"/>
      <c r="I44" s="42"/>
      <c r="J44" s="42"/>
      <c r="K44" s="42"/>
    </row>
    <row r="45" spans="1:11" s="45" customFormat="1" ht="12.75">
      <c r="A45" s="41" t="s">
        <v>68</v>
      </c>
      <c r="B45" s="42"/>
      <c r="C45" s="42" t="s">
        <v>69</v>
      </c>
      <c r="D45" s="46"/>
      <c r="E45" s="47"/>
      <c r="F45" s="42"/>
      <c r="G45" s="42"/>
      <c r="H45" s="42"/>
      <c r="I45" s="42"/>
      <c r="J45" s="42"/>
      <c r="K45" s="42"/>
    </row>
    <row r="46" spans="1:11" s="45" customFormat="1" ht="12.75">
      <c r="A46" s="41"/>
      <c r="B46" s="42"/>
      <c r="C46" s="42" t="s">
        <v>76</v>
      </c>
      <c r="D46" s="46"/>
      <c r="E46" s="47"/>
      <c r="F46" s="42"/>
      <c r="G46" s="42"/>
      <c r="H46" s="42"/>
      <c r="I46" s="42"/>
      <c r="J46" s="42"/>
      <c r="K46" s="42"/>
    </row>
    <row r="47" spans="1:11" s="45" customFormat="1" ht="12.75">
      <c r="A47" s="41"/>
      <c r="B47" s="42"/>
      <c r="C47" s="42" t="s">
        <v>77</v>
      </c>
      <c r="D47" s="46"/>
      <c r="E47" s="47"/>
      <c r="F47" s="42"/>
      <c r="G47" s="42"/>
      <c r="H47" s="42"/>
      <c r="I47" s="42"/>
      <c r="J47" s="42"/>
      <c r="K47" s="42"/>
    </row>
    <row r="48" spans="1:11" s="45" customFormat="1" ht="3" customHeight="1">
      <c r="A48" s="41"/>
      <c r="B48" s="42"/>
      <c r="C48" s="42"/>
      <c r="D48" s="65"/>
      <c r="E48" s="47"/>
      <c r="F48" s="42"/>
      <c r="G48" s="42"/>
      <c r="H48" s="42"/>
      <c r="I48" s="42"/>
      <c r="J48" s="42"/>
      <c r="K48" s="42"/>
    </row>
    <row r="49" spans="1:11" s="45" customFormat="1" ht="12.75" customHeight="1">
      <c r="A49" s="41"/>
      <c r="B49" s="42"/>
      <c r="C49" s="43" t="s">
        <v>115</v>
      </c>
      <c r="D49" s="43"/>
      <c r="E49" s="43"/>
      <c r="F49" s="43"/>
      <c r="G49" s="43"/>
      <c r="H49" s="43"/>
      <c r="I49" s="43"/>
      <c r="J49" s="43"/>
      <c r="K49" s="43"/>
    </row>
    <row r="50" spans="1:11" s="45" customFormat="1" ht="12.75">
      <c r="A50" s="41"/>
      <c r="B50" s="42"/>
      <c r="C50" s="43" t="s">
        <v>116</v>
      </c>
      <c r="D50" s="43"/>
      <c r="E50" s="43"/>
      <c r="F50" s="43"/>
      <c r="G50" s="43"/>
      <c r="H50" s="43"/>
      <c r="I50" s="43"/>
      <c r="J50" s="43"/>
      <c r="K50" s="43"/>
    </row>
    <row r="51" spans="1:11" s="45" customFormat="1" ht="12.75">
      <c r="A51" s="41"/>
      <c r="B51" s="42"/>
      <c r="C51" s="43" t="s">
        <v>117</v>
      </c>
      <c r="D51" s="43"/>
      <c r="E51" s="43"/>
      <c r="F51" s="43"/>
      <c r="G51" s="43"/>
      <c r="H51" s="43"/>
      <c r="I51" s="43"/>
      <c r="J51" s="43"/>
      <c r="K51" s="43"/>
    </row>
    <row r="52" spans="1:11" s="45" customFormat="1" ht="6" customHeight="1">
      <c r="A52" s="41"/>
      <c r="B52" s="42"/>
      <c r="C52" s="42"/>
      <c r="D52" s="42"/>
      <c r="E52" s="46"/>
      <c r="F52" s="47"/>
      <c r="G52" s="42"/>
      <c r="H52" s="42"/>
      <c r="I52" s="42"/>
      <c r="J52" s="42"/>
      <c r="K52" s="42"/>
    </row>
    <row r="53" spans="1:11" s="45" customFormat="1" ht="12.75">
      <c r="A53" s="41" t="s">
        <v>78</v>
      </c>
      <c r="B53" s="42"/>
      <c r="C53" s="42" t="s">
        <v>71</v>
      </c>
      <c r="D53" s="46"/>
      <c r="E53" s="47"/>
      <c r="F53" s="42"/>
      <c r="G53" s="42"/>
      <c r="H53" s="42"/>
      <c r="I53" s="42"/>
      <c r="J53" s="42"/>
      <c r="K53" s="42"/>
    </row>
    <row r="54" spans="1:11" s="45" customFormat="1" ht="12.75">
      <c r="A54" s="48"/>
      <c r="B54" s="42"/>
      <c r="C54" s="42" t="s">
        <v>72</v>
      </c>
      <c r="D54" s="46"/>
      <c r="E54" s="47"/>
      <c r="F54" s="42"/>
      <c r="G54" s="42"/>
      <c r="H54" s="42"/>
      <c r="I54" s="42"/>
      <c r="J54" s="42"/>
      <c r="K54" s="42"/>
    </row>
    <row r="55" spans="1:11" s="45" customFormat="1" ht="12.75">
      <c r="A55" s="41"/>
      <c r="B55" s="42"/>
      <c r="C55" s="42"/>
      <c r="E55" s="46"/>
      <c r="F55" s="47"/>
      <c r="G55" s="42"/>
      <c r="H55" s="42"/>
      <c r="I55" s="42"/>
      <c r="J55" s="42"/>
      <c r="K55" s="42"/>
    </row>
    <row r="56" spans="1:11" s="45" customFormat="1" ht="12.75">
      <c r="A56" s="41" t="s">
        <v>118</v>
      </c>
      <c r="B56" s="16"/>
      <c r="C56" s="64" t="s">
        <v>119</v>
      </c>
      <c r="D56" s="16"/>
      <c r="E56" s="16"/>
      <c r="F56" s="17"/>
      <c r="G56" s="16"/>
      <c r="H56" s="16"/>
      <c r="I56" s="16"/>
      <c r="J56" s="16"/>
      <c r="K56" s="16"/>
    </row>
    <row r="57" spans="1:11" s="45" customFormat="1" ht="12.75">
      <c r="A57" s="3"/>
      <c r="B57" s="16"/>
      <c r="C57" s="66"/>
      <c r="D57" s="16"/>
      <c r="E57" s="16"/>
      <c r="F57" s="17"/>
      <c r="G57" s="16"/>
      <c r="H57" s="16"/>
      <c r="I57" s="16"/>
      <c r="J57" s="16"/>
      <c r="K57" s="16"/>
    </row>
    <row r="58" spans="1:11" s="45" customFormat="1" ht="12.75">
      <c r="A58" s="41" t="s">
        <v>103</v>
      </c>
      <c r="B58" s="42"/>
      <c r="C58" s="23" t="s">
        <v>104</v>
      </c>
      <c r="E58" s="46"/>
      <c r="F58" s="47"/>
      <c r="G58" s="42"/>
      <c r="H58" s="42"/>
      <c r="I58" s="42"/>
      <c r="J58" s="42"/>
      <c r="K58" s="42"/>
    </row>
    <row r="59" spans="1:11" s="45" customFormat="1" ht="12.75">
      <c r="A59" s="48"/>
      <c r="B59" s="42"/>
      <c r="C59" s="16" t="s">
        <v>105</v>
      </c>
      <c r="E59" s="46"/>
      <c r="F59" s="47"/>
      <c r="G59" s="42"/>
      <c r="H59" s="42"/>
      <c r="I59" s="42"/>
      <c r="J59" s="42"/>
      <c r="K59" s="42"/>
    </row>
    <row r="60" spans="1:11" ht="12.75">
      <c r="A60" s="28"/>
      <c r="B60" s="26"/>
      <c r="C60" s="26"/>
      <c r="D60" s="26"/>
      <c r="F60" s="27"/>
      <c r="G60" s="26"/>
      <c r="H60" s="26"/>
      <c r="I60" s="26"/>
      <c r="J60" s="26"/>
      <c r="K60" s="26"/>
    </row>
    <row r="61" spans="1:11" ht="12.75">
      <c r="A61" s="81" t="s">
        <v>31</v>
      </c>
      <c r="B61" s="82"/>
      <c r="C61" s="82"/>
      <c r="D61" s="82"/>
      <c r="E61" s="82"/>
      <c r="F61" s="82"/>
      <c r="G61" s="82"/>
      <c r="H61" s="82"/>
      <c r="I61" s="82"/>
      <c r="J61" s="82"/>
      <c r="K61" s="82"/>
    </row>
    <row r="62" ht="12.75">
      <c r="A62" s="24"/>
    </row>
    <row r="63" spans="1:9" ht="13.5">
      <c r="A63" s="32"/>
      <c r="D63" s="10" t="s">
        <v>9</v>
      </c>
      <c r="E63" s="53" t="s">
        <v>74</v>
      </c>
      <c r="F63" s="83" t="s">
        <v>83</v>
      </c>
      <c r="G63" s="83"/>
      <c r="H63" s="83"/>
      <c r="I63" s="83"/>
    </row>
    <row r="64" spans="1:9" ht="12.75">
      <c r="A64" s="35"/>
      <c r="D64" s="8" t="s">
        <v>17</v>
      </c>
      <c r="E64" s="54" t="s">
        <v>75</v>
      </c>
      <c r="F64" s="8" t="s">
        <v>80</v>
      </c>
      <c r="G64" s="57" t="s">
        <v>81</v>
      </c>
      <c r="H64" s="36"/>
      <c r="I64" s="8" t="s">
        <v>82</v>
      </c>
    </row>
    <row r="65" spans="2:9" ht="12.75">
      <c r="B65" s="37"/>
      <c r="C65" s="37"/>
      <c r="D65" s="55">
        <f>27.6%+6.4%</f>
        <v>0.34</v>
      </c>
      <c r="E65" s="55">
        <v>0.1</v>
      </c>
      <c r="F65" s="55">
        <v>0.46</v>
      </c>
      <c r="G65" s="58">
        <v>0.0875</v>
      </c>
      <c r="H65" s="56"/>
      <c r="I65" s="55">
        <v>0.0125</v>
      </c>
    </row>
    <row r="66" spans="1:11" s="23" customFormat="1" ht="12.75">
      <c r="A66" s="3"/>
      <c r="B66" s="37"/>
      <c r="C66" s="37"/>
      <c r="D66" s="37"/>
      <c r="E66" s="26"/>
      <c r="F66" s="27"/>
      <c r="G66" s="38"/>
      <c r="H66" s="26"/>
      <c r="I66" s="38"/>
      <c r="J66" s="38"/>
      <c r="K66" s="38"/>
    </row>
    <row r="67" spans="1:11" ht="12.75">
      <c r="A67" s="84" t="s">
        <v>39</v>
      </c>
      <c r="B67" s="85"/>
      <c r="C67" s="85"/>
      <c r="D67" s="85"/>
      <c r="E67" s="85"/>
      <c r="F67" s="85"/>
      <c r="G67" s="85"/>
      <c r="H67" s="85"/>
      <c r="I67" s="85"/>
      <c r="J67" s="85"/>
      <c r="K67" s="85"/>
    </row>
    <row r="68" spans="1:6" ht="9.75" customHeight="1">
      <c r="A68" s="24"/>
      <c r="E68"/>
      <c r="F68" s="16"/>
    </row>
    <row r="69" spans="1:11" ht="54" customHeight="1">
      <c r="A69" s="86" t="s">
        <v>123</v>
      </c>
      <c r="B69" s="87"/>
      <c r="C69" s="87"/>
      <c r="D69" s="87"/>
      <c r="E69" s="87"/>
      <c r="F69" s="87"/>
      <c r="G69" s="87"/>
      <c r="H69" s="87"/>
      <c r="I69" s="87"/>
      <c r="J69" s="87"/>
      <c r="K69" s="87"/>
    </row>
    <row r="70" spans="1:6" ht="12.75">
      <c r="A70" s="16"/>
      <c r="E70"/>
      <c r="F70" s="16"/>
    </row>
    <row r="71" spans="2:5" ht="12.75">
      <c r="B71" s="24" t="s">
        <v>40</v>
      </c>
      <c r="C71" s="24"/>
      <c r="D71" s="24"/>
      <c r="E71" s="16">
        <v>137103</v>
      </c>
    </row>
    <row r="72" spans="2:5" ht="12.75">
      <c r="B72" s="24" t="s">
        <v>41</v>
      </c>
      <c r="C72" s="24"/>
      <c r="D72" s="24"/>
      <c r="E72" s="16">
        <v>231788</v>
      </c>
    </row>
    <row r="73" spans="2:5" ht="12.75">
      <c r="B73" s="16" t="s">
        <v>42</v>
      </c>
      <c r="E73" s="16">
        <v>256796</v>
      </c>
    </row>
    <row r="74" ht="7.5" customHeight="1">
      <c r="E74" s="16" t="s">
        <v>36</v>
      </c>
    </row>
    <row r="76" spans="1:11" s="70" customFormat="1" ht="16.5" customHeight="1">
      <c r="A76" s="67" t="s">
        <v>91</v>
      </c>
      <c r="B76" s="68"/>
      <c r="C76" s="68"/>
      <c r="D76" s="68"/>
      <c r="E76" s="68"/>
      <c r="F76" s="69"/>
      <c r="G76" s="68"/>
      <c r="H76" s="68"/>
      <c r="I76" s="68"/>
      <c r="J76" s="68"/>
      <c r="K76" s="68"/>
    </row>
  </sheetData>
  <sheetProtection/>
  <mergeCells count="12">
    <mergeCell ref="I10:K10"/>
    <mergeCell ref="A31:K31"/>
    <mergeCell ref="A61:K61"/>
    <mergeCell ref="F63:I63"/>
    <mergeCell ref="A67:K67"/>
    <mergeCell ref="A69:K69"/>
    <mergeCell ref="A1:K1"/>
    <mergeCell ref="A2:K2"/>
    <mergeCell ref="A3:K3"/>
    <mergeCell ref="A4:K4"/>
    <mergeCell ref="A5:K5"/>
    <mergeCell ref="A8:K8"/>
  </mergeCells>
  <hyperlinks>
    <hyperlink ref="A4" r:id="rId1" display="www.vernondowns.com"/>
  </hyperlinks>
  <printOptions horizontalCentered="1"/>
  <pageMargins left="0.25" right="0.25" top="0.75" bottom="0.5" header="0.5" footer="0.5"/>
  <pageSetup fitToHeight="1" fitToWidth="1" horizontalDpi="600" verticalDpi="600" orientation="portrait" scale="75"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1">
      <selection activeCell="F27" sqref="F27:G27"/>
    </sheetView>
  </sheetViews>
  <sheetFormatPr defaultColWidth="9.140625" defaultRowHeight="12.75"/>
  <cols>
    <col min="1" max="1" width="10.57421875" style="3" customWidth="1"/>
    <col min="2" max="2" width="15.57421875" style="16" customWidth="1"/>
    <col min="3" max="3" width="13.57421875" style="16" customWidth="1"/>
    <col min="4" max="4" width="14.140625" style="16" customWidth="1"/>
    <col min="5" max="5" width="12.7109375" style="16" customWidth="1"/>
    <col min="6" max="6" width="11.421875" style="17" customWidth="1"/>
    <col min="7" max="7" width="11.421875" style="16" customWidth="1"/>
    <col min="8" max="8" width="2.421875" style="16" customWidth="1"/>
    <col min="9" max="9" width="13.00390625" style="16" customWidth="1"/>
    <col min="10" max="10" width="12.7109375" style="16" customWidth="1"/>
    <col min="11" max="11" width="12.8515625" style="16" bestFit="1" customWidth="1"/>
    <col min="12" max="12" width="12.7109375" style="0" customWidth="1"/>
  </cols>
  <sheetData>
    <row r="1" spans="1:11" ht="18">
      <c r="A1" s="77" t="s">
        <v>52</v>
      </c>
      <c r="B1" s="77"/>
      <c r="C1" s="77"/>
      <c r="D1" s="77"/>
      <c r="E1" s="77"/>
      <c r="F1" s="77"/>
      <c r="G1" s="77"/>
      <c r="H1" s="77"/>
      <c r="I1" s="77"/>
      <c r="J1" s="77"/>
      <c r="K1" s="77"/>
    </row>
    <row r="2" spans="1:11" ht="15">
      <c r="A2" s="78" t="s">
        <v>0</v>
      </c>
      <c r="B2" s="78"/>
      <c r="C2" s="78"/>
      <c r="D2" s="78"/>
      <c r="E2" s="78"/>
      <c r="F2" s="78"/>
      <c r="G2" s="78"/>
      <c r="H2" s="78"/>
      <c r="I2" s="78"/>
      <c r="J2" s="78"/>
      <c r="K2" s="78"/>
    </row>
    <row r="3" spans="1:11" s="1" customFormat="1" ht="15">
      <c r="A3" s="78" t="s">
        <v>1</v>
      </c>
      <c r="B3" s="78"/>
      <c r="C3" s="78"/>
      <c r="D3" s="78"/>
      <c r="E3" s="78"/>
      <c r="F3" s="78"/>
      <c r="G3" s="78"/>
      <c r="H3" s="78"/>
      <c r="I3" s="78"/>
      <c r="J3" s="78"/>
      <c r="K3" s="78"/>
    </row>
    <row r="4" spans="1:11" s="1" customFormat="1" ht="14.25" customHeight="1">
      <c r="A4" s="79" t="s">
        <v>2</v>
      </c>
      <c r="B4" s="79"/>
      <c r="C4" s="79"/>
      <c r="D4" s="79"/>
      <c r="E4" s="79"/>
      <c r="F4" s="79"/>
      <c r="G4" s="79"/>
      <c r="H4" s="79"/>
      <c r="I4" s="79"/>
      <c r="J4" s="79"/>
      <c r="K4" s="79"/>
    </row>
    <row r="5" spans="1:11" s="1" customFormat="1" ht="14.25">
      <c r="A5" s="80" t="s">
        <v>84</v>
      </c>
      <c r="B5" s="80"/>
      <c r="C5" s="80"/>
      <c r="D5" s="80"/>
      <c r="E5" s="80"/>
      <c r="F5" s="80"/>
      <c r="G5" s="80"/>
      <c r="H5" s="80"/>
      <c r="I5" s="80"/>
      <c r="J5" s="80"/>
      <c r="K5" s="80"/>
    </row>
    <row r="6" spans="1:11" s="1" customFormat="1" ht="14.25">
      <c r="A6" s="2"/>
      <c r="B6" s="2"/>
      <c r="C6" s="2"/>
      <c r="D6" s="2"/>
      <c r="E6" s="2"/>
      <c r="F6" s="2"/>
      <c r="G6" s="2"/>
      <c r="H6" s="2"/>
      <c r="I6" s="2"/>
      <c r="J6" s="2"/>
      <c r="K6" s="2"/>
    </row>
    <row r="7" spans="1:11" s="1" customFormat="1" ht="12.75">
      <c r="A7" s="3"/>
      <c r="B7" s="4"/>
      <c r="C7" s="4"/>
      <c r="D7" s="4"/>
      <c r="E7" s="5"/>
      <c r="F7" s="6"/>
      <c r="G7" s="5"/>
      <c r="H7" s="5"/>
      <c r="I7" s="5"/>
      <c r="J7" s="5"/>
      <c r="K7" s="5"/>
    </row>
    <row r="8" spans="1:11" s="7" customFormat="1" ht="14.25" customHeight="1">
      <c r="A8" s="81" t="s">
        <v>120</v>
      </c>
      <c r="B8" s="82"/>
      <c r="C8" s="82"/>
      <c r="D8" s="82"/>
      <c r="E8" s="82"/>
      <c r="F8" s="82"/>
      <c r="G8" s="82"/>
      <c r="H8" s="82"/>
      <c r="I8" s="82"/>
      <c r="J8" s="82"/>
      <c r="K8" s="82"/>
    </row>
    <row r="9" spans="1:11" s="1" customFormat="1" ht="9" customHeight="1">
      <c r="A9" s="3"/>
      <c r="B9" s="4"/>
      <c r="C9" s="4"/>
      <c r="D9" s="4"/>
      <c r="E9" s="5"/>
      <c r="F9" s="6"/>
      <c r="G9" s="5"/>
      <c r="H9" s="5"/>
      <c r="I9" s="5"/>
      <c r="J9" s="5"/>
      <c r="K9" s="5"/>
    </row>
    <row r="10" spans="1:11" s="1" customFormat="1" ht="12.75">
      <c r="A10" s="3"/>
      <c r="B10" s="5"/>
      <c r="C10" s="5"/>
      <c r="D10" s="5"/>
      <c r="E10" s="5"/>
      <c r="F10" s="6"/>
      <c r="G10" s="5"/>
      <c r="H10" s="5"/>
      <c r="I10" s="83" t="s">
        <v>5</v>
      </c>
      <c r="J10" s="83"/>
      <c r="K10" s="83"/>
    </row>
    <row r="11" spans="1:11" s="1" customFormat="1" ht="12.75">
      <c r="A11" s="3"/>
      <c r="B11" s="5"/>
      <c r="C11" s="5"/>
      <c r="D11" s="5"/>
      <c r="E11" s="5"/>
      <c r="F11" s="6"/>
      <c r="G11" s="5"/>
      <c r="H11" s="5"/>
      <c r="I11" s="5"/>
      <c r="J11" s="5"/>
      <c r="K11" s="10"/>
    </row>
    <row r="12" spans="1:11" s="12" customFormat="1" ht="12">
      <c r="A12" s="9"/>
      <c r="B12" s="10" t="s">
        <v>6</v>
      </c>
      <c r="C12" s="10" t="s">
        <v>65</v>
      </c>
      <c r="D12" s="10" t="s">
        <v>6</v>
      </c>
      <c r="E12" s="10"/>
      <c r="F12" s="11" t="s">
        <v>7</v>
      </c>
      <c r="G12" s="10" t="s">
        <v>8</v>
      </c>
      <c r="H12" s="10"/>
      <c r="I12" s="10" t="s">
        <v>9</v>
      </c>
      <c r="J12" s="10" t="s">
        <v>74</v>
      </c>
      <c r="K12" s="10" t="s">
        <v>73</v>
      </c>
    </row>
    <row r="13" spans="1:11" s="12" customFormat="1" ht="12">
      <c r="A13" s="13" t="s">
        <v>11</v>
      </c>
      <c r="B13" s="8" t="s">
        <v>12</v>
      </c>
      <c r="C13" s="8" t="s">
        <v>19</v>
      </c>
      <c r="D13" s="8" t="s">
        <v>13</v>
      </c>
      <c r="E13" s="8" t="s">
        <v>14</v>
      </c>
      <c r="F13" s="14" t="s">
        <v>15</v>
      </c>
      <c r="G13" s="8" t="s">
        <v>16</v>
      </c>
      <c r="H13" s="15"/>
      <c r="I13" s="8" t="s">
        <v>17</v>
      </c>
      <c r="J13" s="8" t="s">
        <v>75</v>
      </c>
      <c r="K13" s="8" t="s">
        <v>18</v>
      </c>
    </row>
    <row r="15" spans="1:11" ht="12.75">
      <c r="A15" s="3">
        <v>43922</v>
      </c>
      <c r="B15" s="16">
        <v>0</v>
      </c>
      <c r="C15" s="16">
        <v>0</v>
      </c>
      <c r="D15" s="63">
        <f aca="true" t="shared" si="0" ref="D15:D26">IF(ISBLANK(B15),"",B15-C15-E15)</f>
        <v>0</v>
      </c>
      <c r="E15" s="16">
        <v>0</v>
      </c>
      <c r="F15" s="17">
        <v>0</v>
      </c>
      <c r="G15" s="16">
        <v>0</v>
      </c>
      <c r="I15" s="16">
        <v>0</v>
      </c>
      <c r="J15" s="16">
        <v>0</v>
      </c>
      <c r="K15" s="16">
        <v>0</v>
      </c>
    </row>
    <row r="16" spans="1:11" ht="12.75">
      <c r="A16" s="3">
        <v>43952</v>
      </c>
      <c r="B16" s="16">
        <v>0</v>
      </c>
      <c r="C16" s="16">
        <v>0</v>
      </c>
      <c r="D16" s="63">
        <f>IF(ISBLANK(B16),"",B16-C16-E16)</f>
        <v>0</v>
      </c>
      <c r="E16" s="16">
        <v>0</v>
      </c>
      <c r="F16" s="17">
        <v>0</v>
      </c>
      <c r="G16" s="16">
        <v>0</v>
      </c>
      <c r="I16" s="16">
        <v>0</v>
      </c>
      <c r="J16" s="16">
        <v>0</v>
      </c>
      <c r="K16" s="16">
        <v>0</v>
      </c>
    </row>
    <row r="17" spans="1:11" ht="12.75">
      <c r="A17" s="3">
        <v>43983</v>
      </c>
      <c r="B17" s="16">
        <v>0</v>
      </c>
      <c r="C17" s="16">
        <v>0</v>
      </c>
      <c r="D17" s="63">
        <f>IF(ISBLANK(B17),"",B17-C17-E17)</f>
        <v>0</v>
      </c>
      <c r="E17" s="16">
        <v>0</v>
      </c>
      <c r="F17" s="17">
        <v>0</v>
      </c>
      <c r="G17" s="16">
        <v>0</v>
      </c>
      <c r="I17" s="16">
        <v>0</v>
      </c>
      <c r="J17" s="16">
        <v>0</v>
      </c>
      <c r="K17" s="16">
        <v>0</v>
      </c>
    </row>
    <row r="18" spans="1:11" ht="12.75">
      <c r="A18" s="3">
        <v>44013</v>
      </c>
      <c r="B18" s="16">
        <v>0</v>
      </c>
      <c r="C18" s="16">
        <v>0</v>
      </c>
      <c r="D18" s="63">
        <f>IF(ISBLANK(B18),"",B18-C18-E18)</f>
        <v>0</v>
      </c>
      <c r="E18" s="16">
        <v>0</v>
      </c>
      <c r="F18" s="17">
        <v>0</v>
      </c>
      <c r="G18" s="16">
        <v>0</v>
      </c>
      <c r="I18" s="16">
        <v>0</v>
      </c>
      <c r="J18" s="16">
        <v>0</v>
      </c>
      <c r="K18" s="16">
        <v>0</v>
      </c>
    </row>
    <row r="19" spans="1:11" ht="12.75">
      <c r="A19" s="3">
        <v>44044</v>
      </c>
      <c r="B19" s="16">
        <v>0</v>
      </c>
      <c r="C19" s="16">
        <v>0</v>
      </c>
      <c r="D19" s="63">
        <f>IF(ISBLANK(B19),"",B19-C19-E19)</f>
        <v>0</v>
      </c>
      <c r="E19" s="16">
        <v>0</v>
      </c>
      <c r="F19" s="17">
        <v>0</v>
      </c>
      <c r="G19" s="16">
        <v>0</v>
      </c>
      <c r="I19" s="16">
        <v>0</v>
      </c>
      <c r="J19" s="16">
        <v>0</v>
      </c>
      <c r="K19" s="16">
        <v>0</v>
      </c>
    </row>
    <row r="20" spans="1:11" ht="12.75">
      <c r="A20" s="3">
        <v>44075</v>
      </c>
      <c r="B20" s="16">
        <v>12955404.35</v>
      </c>
      <c r="C20" s="16">
        <v>40762</v>
      </c>
      <c r="D20" s="63">
        <f t="shared" si="0"/>
        <v>11854137.379999999</v>
      </c>
      <c r="E20" s="16">
        <v>1060504.97</v>
      </c>
      <c r="F20" s="17">
        <v>208</v>
      </c>
      <c r="G20" s="16">
        <f>_xlfn.IFERROR((E20/F20/22)," ")</f>
        <v>231.75370847902096</v>
      </c>
      <c r="I20" s="16">
        <v>360571.7</v>
      </c>
      <c r="J20" s="16">
        <v>106050.49999999999</v>
      </c>
      <c r="K20" s="16">
        <v>593882.7499999999</v>
      </c>
    </row>
    <row r="21" spans="1:11" ht="12.75">
      <c r="A21" s="3">
        <v>44105</v>
      </c>
      <c r="B21" s="16">
        <v>22070271.04</v>
      </c>
      <c r="C21" s="16">
        <v>227845.82</v>
      </c>
      <c r="D21" s="63">
        <f t="shared" si="0"/>
        <v>20169832.849999998</v>
      </c>
      <c r="E21" s="16">
        <v>1672592.37</v>
      </c>
      <c r="F21" s="17">
        <v>208</v>
      </c>
      <c r="G21" s="16">
        <f>_xlfn.IFERROR((E21/F21/31)," ")</f>
        <v>259.3970797146402</v>
      </c>
      <c r="I21" s="16">
        <v>568681.43</v>
      </c>
      <c r="J21" s="16">
        <v>167259.25</v>
      </c>
      <c r="K21" s="16">
        <v>936651.74</v>
      </c>
    </row>
    <row r="22" spans="1:11" ht="12.75">
      <c r="A22" s="3">
        <v>44136</v>
      </c>
      <c r="B22" s="16">
        <v>18450422.349999994</v>
      </c>
      <c r="C22" s="16">
        <v>240543.25</v>
      </c>
      <c r="D22" s="63">
        <f t="shared" si="0"/>
        <v>16866464.119999994</v>
      </c>
      <c r="E22" s="16">
        <v>1343414.9800000002</v>
      </c>
      <c r="F22" s="17">
        <v>208</v>
      </c>
      <c r="G22" s="16">
        <f>_xlfn.IFERROR((E22/F22/30)," ")</f>
        <v>215.29086217948722</v>
      </c>
      <c r="I22" s="16">
        <v>456761.11999999994</v>
      </c>
      <c r="J22" s="16">
        <v>134341.49999999997</v>
      </c>
      <c r="K22" s="16">
        <v>752312.38</v>
      </c>
    </row>
    <row r="23" spans="1:11" ht="12.75">
      <c r="A23" s="3">
        <v>44166</v>
      </c>
      <c r="B23" s="16">
        <v>15841436.780000001</v>
      </c>
      <c r="C23" s="16">
        <v>221266.16</v>
      </c>
      <c r="D23" s="63">
        <f t="shared" si="0"/>
        <v>14520778.940000001</v>
      </c>
      <c r="E23" s="16">
        <v>1099391.6799999997</v>
      </c>
      <c r="F23" s="17">
        <v>229.63</v>
      </c>
      <c r="G23" s="16">
        <f>_xlfn.IFERROR((E23/F23/30)," ")</f>
        <v>159.58885743732668</v>
      </c>
      <c r="I23" s="16">
        <v>373793.19000000006</v>
      </c>
      <c r="J23" s="16">
        <v>109939.16999999998</v>
      </c>
      <c r="K23" s="16">
        <v>615659.3600000001</v>
      </c>
    </row>
    <row r="24" spans="1:11" ht="12.75">
      <c r="A24" s="3">
        <v>44197</v>
      </c>
      <c r="B24" s="16">
        <v>18330485.39</v>
      </c>
      <c r="C24" s="16">
        <v>195842.55000000002</v>
      </c>
      <c r="D24" s="63">
        <f t="shared" si="0"/>
        <v>16801735.58</v>
      </c>
      <c r="E24" s="16">
        <v>1332907.2600000002</v>
      </c>
      <c r="F24" s="17">
        <v>223</v>
      </c>
      <c r="G24" s="16">
        <f>_xlfn.IFERROR((E24/F24/31)," ")</f>
        <v>192.8116968031246</v>
      </c>
      <c r="I24" s="16">
        <v>453188.4799999999</v>
      </c>
      <c r="J24" s="16">
        <v>133290.74</v>
      </c>
      <c r="K24" s="16">
        <v>746428.08</v>
      </c>
    </row>
    <row r="25" spans="1:11" ht="12.75">
      <c r="A25" s="3">
        <v>44228</v>
      </c>
      <c r="B25" s="16">
        <v>20977152.250000004</v>
      </c>
      <c r="C25" s="16">
        <v>231268.63999999998</v>
      </c>
      <c r="D25" s="63">
        <f t="shared" si="0"/>
        <v>19260517.970000003</v>
      </c>
      <c r="E25" s="16">
        <v>1485365.6400000001</v>
      </c>
      <c r="F25" s="17">
        <f>6244/28</f>
        <v>223</v>
      </c>
      <c r="G25" s="16">
        <f>_xlfn.IFERROR((E25/F25/28)," ")</f>
        <v>237.88687379884692</v>
      </c>
      <c r="I25" s="16">
        <v>505024.31999999995</v>
      </c>
      <c r="J25" s="16">
        <v>148536.56000000003</v>
      </c>
      <c r="K25" s="16">
        <v>831804.76</v>
      </c>
    </row>
    <row r="26" spans="1:11" ht="12.75">
      <c r="A26" s="3">
        <v>44256</v>
      </c>
      <c r="B26" s="16">
        <v>28479241.319999997</v>
      </c>
      <c r="C26" s="16">
        <v>323339.53</v>
      </c>
      <c r="D26" s="63">
        <f t="shared" si="0"/>
        <v>26046195.269999996</v>
      </c>
      <c r="E26" s="16">
        <v>2109706.519999999</v>
      </c>
      <c r="F26" s="17">
        <v>223</v>
      </c>
      <c r="G26" s="16">
        <f>_xlfn.IFERROR((E26/F26/31)," ")</f>
        <v>305.17959207290596</v>
      </c>
      <c r="I26" s="16">
        <v>717300.2299999999</v>
      </c>
      <c r="J26" s="16">
        <v>210970.66</v>
      </c>
      <c r="K26" s="16">
        <v>1181435.66</v>
      </c>
    </row>
    <row r="27" spans="1:11" ht="13.5" thickBot="1">
      <c r="A27" s="60" t="s">
        <v>20</v>
      </c>
      <c r="B27" s="61">
        <f>SUM(B15:B26)</f>
        <v>137104413.48</v>
      </c>
      <c r="C27" s="61">
        <f>SUM(C15:C26)</f>
        <v>1480867.95</v>
      </c>
      <c r="D27" s="61">
        <f>SUM(D15:D26)</f>
        <v>125519662.10999998</v>
      </c>
      <c r="E27" s="61">
        <f>SUM(E15:E26)</f>
        <v>10103883.42</v>
      </c>
      <c r="F27" s="72">
        <f>SUM(F20:F26)/COUNT(F20:F26)</f>
        <v>217.51857142857145</v>
      </c>
      <c r="G27" s="61">
        <f>_xlfn.IFERROR(E27/F27/180," ")</f>
        <v>258.0592787917397</v>
      </c>
      <c r="H27" s="33"/>
      <c r="I27" s="61">
        <f>SUM(I15:I26)</f>
        <v>3435320.4699999997</v>
      </c>
      <c r="J27" s="61">
        <f>SUM(J15:J26)</f>
        <v>1010388.38</v>
      </c>
      <c r="K27" s="61">
        <f>SUM(K15:K26)</f>
        <v>5658174.7299999995</v>
      </c>
    </row>
    <row r="28" spans="2:11" ht="10.5" customHeight="1" thickTop="1">
      <c r="B28" s="19"/>
      <c r="C28" s="19"/>
      <c r="D28" s="19"/>
      <c r="E28" s="19"/>
      <c r="I28" s="19"/>
      <c r="J28" s="19"/>
      <c r="K28" s="19"/>
    </row>
    <row r="29" spans="1:11" s="22" customFormat="1" ht="12.75">
      <c r="A29" s="20"/>
      <c r="B29" s="21"/>
      <c r="C29" s="21">
        <f>_xlfn.IFERROR(C27/B27,"")</f>
        <v>0.010801023194020086</v>
      </c>
      <c r="D29" s="21">
        <f>_xlfn.IFERROR(D27/B27,"")</f>
        <v>0.9155041688596705</v>
      </c>
      <c r="E29" s="21">
        <f>_xlfn.IFERROR(E27/B27,"")</f>
        <v>0.07369480794630945</v>
      </c>
      <c r="I29" s="21">
        <f>_xlfn.IFERROR(I27/$E$27,"")</f>
        <v>0.3400000106097819</v>
      </c>
      <c r="J29" s="21">
        <f>_xlfn.IFERROR(J27/$E$27,"")</f>
        <v>0.10000000376093017</v>
      </c>
      <c r="K29" s="21">
        <f>_xlfn.IFERROR(K27/$E$27,"")</f>
        <v>0.5600000014647832</v>
      </c>
    </row>
    <row r="31" spans="1:11" s="23" customFormat="1" ht="12.75">
      <c r="A31" s="81" t="s">
        <v>21</v>
      </c>
      <c r="B31" s="82"/>
      <c r="C31" s="82"/>
      <c r="D31" s="82"/>
      <c r="E31" s="82"/>
      <c r="F31" s="82"/>
      <c r="G31" s="82"/>
      <c r="H31" s="82"/>
      <c r="I31" s="82"/>
      <c r="J31" s="82"/>
      <c r="K31" s="82"/>
    </row>
    <row r="32" ht="12.75">
      <c r="A32" s="24"/>
    </row>
    <row r="33" spans="1:11" s="45" customFormat="1" ht="12.75" customHeight="1">
      <c r="A33" s="41" t="s">
        <v>22</v>
      </c>
      <c r="B33" s="42"/>
      <c r="C33" s="43" t="s">
        <v>87</v>
      </c>
      <c r="D33" s="44"/>
      <c r="E33" s="44"/>
      <c r="F33" s="44"/>
      <c r="G33" s="44"/>
      <c r="H33" s="44"/>
      <c r="I33" s="44"/>
      <c r="J33" s="44"/>
      <c r="K33" s="44"/>
    </row>
    <row r="34" spans="1:11" s="45" customFormat="1" ht="12.75" customHeight="1">
      <c r="A34" s="41"/>
      <c r="B34" s="42"/>
      <c r="C34" s="43" t="s">
        <v>88</v>
      </c>
      <c r="D34" s="44"/>
      <c r="E34" s="44"/>
      <c r="F34" s="44"/>
      <c r="G34" s="44"/>
      <c r="H34" s="44"/>
      <c r="I34" s="44"/>
      <c r="J34" s="44"/>
      <c r="K34" s="44"/>
    </row>
    <row r="35" spans="1:11" s="45" customFormat="1" ht="6" customHeight="1">
      <c r="A35" s="41"/>
      <c r="B35" s="42"/>
      <c r="C35" s="43"/>
      <c r="E35" s="44"/>
      <c r="F35" s="44"/>
      <c r="G35" s="44"/>
      <c r="H35" s="44"/>
      <c r="I35" s="44"/>
      <c r="J35" s="44"/>
      <c r="K35" s="44"/>
    </row>
    <row r="36" spans="1:11" ht="12.75">
      <c r="A36" s="25" t="s">
        <v>90</v>
      </c>
      <c r="B36" s="26"/>
      <c r="C36" s="26" t="s">
        <v>79</v>
      </c>
      <c r="F36" s="26"/>
      <c r="G36" s="26"/>
      <c r="H36" s="26"/>
      <c r="I36" s="26"/>
      <c r="J36" s="26"/>
      <c r="K36" s="26"/>
    </row>
    <row r="37" spans="1:11" s="45" customFormat="1" ht="6" customHeight="1">
      <c r="A37" s="41"/>
      <c r="B37" s="42"/>
      <c r="C37" s="43"/>
      <c r="E37" s="46"/>
      <c r="F37" s="43"/>
      <c r="G37" s="43"/>
      <c r="H37" s="43"/>
      <c r="I37" s="43"/>
      <c r="J37" s="42"/>
      <c r="K37" s="42"/>
    </row>
    <row r="38" spans="1:11" s="45" customFormat="1" ht="12.75">
      <c r="A38" s="41" t="s">
        <v>23</v>
      </c>
      <c r="B38" s="42"/>
      <c r="C38" s="43" t="s">
        <v>94</v>
      </c>
      <c r="E38" s="46"/>
      <c r="F38" s="43"/>
      <c r="G38" s="43"/>
      <c r="H38" s="43"/>
      <c r="I38" s="43"/>
      <c r="J38" s="42"/>
      <c r="K38" s="42"/>
    </row>
    <row r="39" spans="1:11" s="45" customFormat="1" ht="6" customHeight="1">
      <c r="A39" s="41"/>
      <c r="B39" s="42"/>
      <c r="C39" s="43"/>
      <c r="E39" s="46"/>
      <c r="F39" s="43"/>
      <c r="G39" s="43"/>
      <c r="H39" s="43"/>
      <c r="I39" s="43"/>
      <c r="J39" s="42"/>
      <c r="K39" s="42"/>
    </row>
    <row r="40" spans="1:11" s="45" customFormat="1" ht="12.75">
      <c r="A40" s="41" t="s">
        <v>25</v>
      </c>
      <c r="B40" s="42"/>
      <c r="C40" s="42" t="s">
        <v>55</v>
      </c>
      <c r="E40" s="46"/>
      <c r="F40" s="47"/>
      <c r="G40" s="42"/>
      <c r="H40" s="42"/>
      <c r="I40" s="42"/>
      <c r="J40" s="42"/>
      <c r="K40" s="42"/>
    </row>
    <row r="41" spans="1:11" s="45" customFormat="1" ht="12.75">
      <c r="A41" s="41"/>
      <c r="B41" s="42"/>
      <c r="C41" s="42" t="s">
        <v>56</v>
      </c>
      <c r="E41" s="46"/>
      <c r="F41" s="47"/>
      <c r="G41" s="42"/>
      <c r="H41" s="42"/>
      <c r="I41" s="42"/>
      <c r="J41" s="42"/>
      <c r="K41" s="42"/>
    </row>
    <row r="42" spans="1:11" s="45" customFormat="1" ht="6" customHeight="1">
      <c r="A42" s="41"/>
      <c r="B42" s="42"/>
      <c r="C42" s="42"/>
      <c r="E42" s="46"/>
      <c r="F42" s="47"/>
      <c r="G42" s="42"/>
      <c r="H42" s="42"/>
      <c r="I42" s="42"/>
      <c r="J42" s="42"/>
      <c r="K42" s="42"/>
    </row>
    <row r="43" spans="1:11" s="45" customFormat="1" ht="12.75">
      <c r="A43" s="41" t="s">
        <v>28</v>
      </c>
      <c r="B43" s="42"/>
      <c r="C43" s="42" t="s">
        <v>29</v>
      </c>
      <c r="E43" s="46"/>
      <c r="F43" s="47"/>
      <c r="G43" s="42"/>
      <c r="H43" s="42"/>
      <c r="I43" s="42"/>
      <c r="J43" s="42"/>
      <c r="K43" s="42"/>
    </row>
    <row r="44" spans="1:11" s="45" customFormat="1" ht="6" customHeight="1">
      <c r="A44" s="41"/>
      <c r="B44" s="42"/>
      <c r="C44" s="42"/>
      <c r="D44" s="42"/>
      <c r="E44" s="46"/>
      <c r="F44" s="47"/>
      <c r="G44" s="42"/>
      <c r="H44" s="42"/>
      <c r="I44" s="42"/>
      <c r="J44" s="42"/>
      <c r="K44" s="42"/>
    </row>
    <row r="45" spans="1:11" s="45" customFormat="1" ht="12.75">
      <c r="A45" s="41" t="s">
        <v>68</v>
      </c>
      <c r="B45" s="42"/>
      <c r="C45" s="42" t="s">
        <v>69</v>
      </c>
      <c r="D45" s="46"/>
      <c r="E45" s="47"/>
      <c r="F45" s="42"/>
      <c r="G45" s="42"/>
      <c r="H45" s="42"/>
      <c r="I45" s="42"/>
      <c r="J45" s="42"/>
      <c r="K45" s="42"/>
    </row>
    <row r="46" spans="1:11" s="45" customFormat="1" ht="12.75">
      <c r="A46" s="41"/>
      <c r="B46" s="42"/>
      <c r="C46" s="42" t="s">
        <v>76</v>
      </c>
      <c r="D46" s="46"/>
      <c r="E46" s="47"/>
      <c r="F46" s="42"/>
      <c r="G46" s="42"/>
      <c r="H46" s="42"/>
      <c r="I46" s="42"/>
      <c r="J46" s="42"/>
      <c r="K46" s="42"/>
    </row>
    <row r="47" spans="1:11" s="45" customFormat="1" ht="12.75">
      <c r="A47" s="41"/>
      <c r="B47" s="42"/>
      <c r="C47" s="42" t="s">
        <v>77</v>
      </c>
      <c r="D47" s="46"/>
      <c r="E47" s="47"/>
      <c r="F47" s="42"/>
      <c r="G47" s="42"/>
      <c r="H47" s="42"/>
      <c r="I47" s="42"/>
      <c r="J47" s="42"/>
      <c r="K47" s="42"/>
    </row>
    <row r="48" spans="1:11" s="45" customFormat="1" ht="3" customHeight="1">
      <c r="A48" s="41"/>
      <c r="B48" s="42"/>
      <c r="C48" s="42"/>
      <c r="D48" s="65"/>
      <c r="E48" s="47"/>
      <c r="F48" s="42"/>
      <c r="G48" s="42"/>
      <c r="H48" s="42"/>
      <c r="I48" s="42"/>
      <c r="J48" s="42"/>
      <c r="K48" s="42"/>
    </row>
    <row r="49" spans="1:11" s="45" customFormat="1" ht="12.75" customHeight="1">
      <c r="A49" s="41"/>
      <c r="B49" s="42"/>
      <c r="C49" s="43" t="s">
        <v>115</v>
      </c>
      <c r="D49" s="43"/>
      <c r="E49" s="43"/>
      <c r="F49" s="43"/>
      <c r="G49" s="43"/>
      <c r="H49" s="43"/>
      <c r="I49" s="43"/>
      <c r="J49" s="43"/>
      <c r="K49" s="43"/>
    </row>
    <row r="50" spans="1:11" s="45" customFormat="1" ht="12.75">
      <c r="A50" s="41"/>
      <c r="B50" s="42"/>
      <c r="C50" s="43" t="s">
        <v>116</v>
      </c>
      <c r="D50" s="43"/>
      <c r="E50" s="43"/>
      <c r="F50" s="43"/>
      <c r="G50" s="43"/>
      <c r="H50" s="43"/>
      <c r="I50" s="43"/>
      <c r="J50" s="43"/>
      <c r="K50" s="43"/>
    </row>
    <row r="51" spans="1:11" s="45" customFormat="1" ht="12.75">
      <c r="A51" s="41"/>
      <c r="B51" s="42"/>
      <c r="C51" s="43" t="s">
        <v>117</v>
      </c>
      <c r="D51" s="43"/>
      <c r="E51" s="43"/>
      <c r="F51" s="43"/>
      <c r="G51" s="43"/>
      <c r="H51" s="43"/>
      <c r="I51" s="43"/>
      <c r="J51" s="43"/>
      <c r="K51" s="43"/>
    </row>
    <row r="52" spans="1:11" s="45" customFormat="1" ht="6" customHeight="1">
      <c r="A52" s="41"/>
      <c r="B52" s="42"/>
      <c r="C52" s="42"/>
      <c r="D52" s="42"/>
      <c r="E52" s="46"/>
      <c r="F52" s="47"/>
      <c r="G52" s="42"/>
      <c r="H52" s="42"/>
      <c r="I52" s="42"/>
      <c r="J52" s="42"/>
      <c r="K52" s="42"/>
    </row>
    <row r="53" spans="1:11" s="45" customFormat="1" ht="12.75">
      <c r="A53" s="41" t="s">
        <v>78</v>
      </c>
      <c r="B53" s="42"/>
      <c r="C53" s="42" t="s">
        <v>71</v>
      </c>
      <c r="D53" s="46"/>
      <c r="E53" s="47"/>
      <c r="F53" s="42"/>
      <c r="G53" s="42"/>
      <c r="H53" s="42"/>
      <c r="I53" s="42"/>
      <c r="J53" s="42"/>
      <c r="K53" s="42"/>
    </row>
    <row r="54" spans="1:11" s="45" customFormat="1" ht="12.75">
      <c r="A54" s="48"/>
      <c r="B54" s="42"/>
      <c r="C54" s="42" t="s">
        <v>72</v>
      </c>
      <c r="D54" s="46"/>
      <c r="E54" s="47"/>
      <c r="F54" s="42"/>
      <c r="G54" s="42"/>
      <c r="H54" s="42"/>
      <c r="I54" s="42"/>
      <c r="J54" s="42"/>
      <c r="K54" s="42"/>
    </row>
    <row r="55" spans="1:11" s="45" customFormat="1" ht="12.75">
      <c r="A55" s="41"/>
      <c r="B55" s="42"/>
      <c r="C55" s="42"/>
      <c r="E55" s="46"/>
      <c r="F55" s="47"/>
      <c r="G55" s="42"/>
      <c r="H55" s="42"/>
      <c r="I55" s="42"/>
      <c r="J55" s="42"/>
      <c r="K55" s="42"/>
    </row>
    <row r="56" spans="1:11" s="45" customFormat="1" ht="12.75">
      <c r="A56" s="41" t="s">
        <v>118</v>
      </c>
      <c r="B56" s="16"/>
      <c r="C56" s="64" t="s">
        <v>119</v>
      </c>
      <c r="D56" s="16"/>
      <c r="E56" s="16"/>
      <c r="F56" s="17"/>
      <c r="G56" s="16"/>
      <c r="H56" s="16"/>
      <c r="I56" s="16"/>
      <c r="J56" s="16"/>
      <c r="K56" s="16"/>
    </row>
    <row r="57" spans="1:11" s="45" customFormat="1" ht="12.75">
      <c r="A57" s="3"/>
      <c r="B57" s="16"/>
      <c r="C57" s="66"/>
      <c r="D57" s="16"/>
      <c r="E57" s="16"/>
      <c r="F57" s="17"/>
      <c r="G57" s="16"/>
      <c r="H57" s="16"/>
      <c r="I57" s="16"/>
      <c r="J57" s="16"/>
      <c r="K57" s="16"/>
    </row>
    <row r="58" spans="1:11" s="45" customFormat="1" ht="12.75">
      <c r="A58" s="41" t="s">
        <v>103</v>
      </c>
      <c r="B58" s="42"/>
      <c r="C58" s="23" t="s">
        <v>104</v>
      </c>
      <c r="E58" s="46"/>
      <c r="F58" s="47"/>
      <c r="G58" s="42"/>
      <c r="H58" s="42"/>
      <c r="I58" s="42"/>
      <c r="J58" s="42"/>
      <c r="K58" s="42"/>
    </row>
    <row r="59" spans="1:11" s="45" customFormat="1" ht="12.75">
      <c r="A59" s="48"/>
      <c r="B59" s="42"/>
      <c r="C59" s="16" t="s">
        <v>105</v>
      </c>
      <c r="E59" s="46"/>
      <c r="F59" s="47"/>
      <c r="G59" s="42"/>
      <c r="H59" s="42"/>
      <c r="I59" s="42"/>
      <c r="J59" s="42"/>
      <c r="K59" s="42"/>
    </row>
    <row r="60" spans="1:11" ht="12.75">
      <c r="A60" s="28"/>
      <c r="B60" s="26"/>
      <c r="C60" s="26"/>
      <c r="D60" s="26"/>
      <c r="F60" s="27"/>
      <c r="G60" s="26"/>
      <c r="H60" s="26"/>
      <c r="I60" s="26"/>
      <c r="J60" s="26"/>
      <c r="K60" s="26"/>
    </row>
    <row r="61" spans="1:11" ht="12.75">
      <c r="A61" s="81" t="s">
        <v>31</v>
      </c>
      <c r="B61" s="82"/>
      <c r="C61" s="82"/>
      <c r="D61" s="82"/>
      <c r="E61" s="82"/>
      <c r="F61" s="82"/>
      <c r="G61" s="82"/>
      <c r="H61" s="82"/>
      <c r="I61" s="82"/>
      <c r="J61" s="82"/>
      <c r="K61" s="82"/>
    </row>
    <row r="62" ht="12.75">
      <c r="A62" s="24"/>
    </row>
    <row r="63" spans="1:9" ht="13.5">
      <c r="A63" s="32"/>
      <c r="D63" s="10" t="s">
        <v>9</v>
      </c>
      <c r="E63" s="53" t="s">
        <v>74</v>
      </c>
      <c r="F63" s="83" t="s">
        <v>83</v>
      </c>
      <c r="G63" s="83"/>
      <c r="H63" s="83"/>
      <c r="I63" s="83"/>
    </row>
    <row r="64" spans="1:9" ht="12.75">
      <c r="A64" s="35"/>
      <c r="D64" s="8" t="s">
        <v>17</v>
      </c>
      <c r="E64" s="54" t="s">
        <v>75</v>
      </c>
      <c r="F64" s="8" t="s">
        <v>80</v>
      </c>
      <c r="G64" s="57" t="s">
        <v>81</v>
      </c>
      <c r="H64" s="36"/>
      <c r="I64" s="8" t="s">
        <v>82</v>
      </c>
    </row>
    <row r="65" spans="2:9" ht="12.75">
      <c r="B65" s="37"/>
      <c r="C65" s="37"/>
      <c r="D65" s="55">
        <f>27.6%+6.4%</f>
        <v>0.34</v>
      </c>
      <c r="E65" s="55">
        <v>0.1</v>
      </c>
      <c r="F65" s="55">
        <v>0.46</v>
      </c>
      <c r="G65" s="58">
        <v>0.0875</v>
      </c>
      <c r="H65" s="56"/>
      <c r="I65" s="55">
        <v>0.0125</v>
      </c>
    </row>
    <row r="66" spans="1:11" s="23" customFormat="1" ht="12.75">
      <c r="A66" s="3"/>
      <c r="B66" s="37"/>
      <c r="C66" s="37"/>
      <c r="D66" s="37"/>
      <c r="E66" s="26"/>
      <c r="F66" s="27"/>
      <c r="G66" s="38"/>
      <c r="H66" s="26"/>
      <c r="I66" s="38"/>
      <c r="J66" s="38"/>
      <c r="K66" s="38"/>
    </row>
    <row r="67" spans="1:11" ht="12.75">
      <c r="A67" s="84" t="s">
        <v>39</v>
      </c>
      <c r="B67" s="85"/>
      <c r="C67" s="85"/>
      <c r="D67" s="85"/>
      <c r="E67" s="85"/>
      <c r="F67" s="85"/>
      <c r="G67" s="85"/>
      <c r="H67" s="85"/>
      <c r="I67" s="85"/>
      <c r="J67" s="85"/>
      <c r="K67" s="85"/>
    </row>
    <row r="68" spans="1:6" ht="9.75" customHeight="1">
      <c r="A68" s="24"/>
      <c r="E68"/>
      <c r="F68" s="16"/>
    </row>
    <row r="69" spans="1:11" ht="54" customHeight="1">
      <c r="A69" s="86" t="s">
        <v>121</v>
      </c>
      <c r="B69" s="87"/>
      <c r="C69" s="87"/>
      <c r="D69" s="87"/>
      <c r="E69" s="87"/>
      <c r="F69" s="87"/>
      <c r="G69" s="87"/>
      <c r="H69" s="87"/>
      <c r="I69" s="87"/>
      <c r="J69" s="87"/>
      <c r="K69" s="87"/>
    </row>
    <row r="70" spans="1:6" ht="12.75">
      <c r="A70" s="16"/>
      <c r="E70"/>
      <c r="F70" s="16"/>
    </row>
    <row r="71" spans="2:5" ht="12.75">
      <c r="B71" s="24" t="s">
        <v>40</v>
      </c>
      <c r="C71" s="24"/>
      <c r="D71" s="24"/>
      <c r="E71" s="16">
        <v>137103</v>
      </c>
    </row>
    <row r="72" spans="2:5" ht="12.75">
      <c r="B72" s="24" t="s">
        <v>41</v>
      </c>
      <c r="C72" s="24"/>
      <c r="D72" s="24"/>
      <c r="E72" s="16">
        <v>231788</v>
      </c>
    </row>
    <row r="73" spans="2:5" ht="12.75">
      <c r="B73" s="16" t="s">
        <v>42</v>
      </c>
      <c r="E73" s="16">
        <v>256796</v>
      </c>
    </row>
    <row r="74" ht="7.5" customHeight="1">
      <c r="E74" s="16" t="s">
        <v>36</v>
      </c>
    </row>
    <row r="76" spans="1:11" s="70" customFormat="1" ht="16.5" customHeight="1">
      <c r="A76" s="67" t="s">
        <v>91</v>
      </c>
      <c r="B76" s="68"/>
      <c r="C76" s="68"/>
      <c r="D76" s="68"/>
      <c r="E76" s="68"/>
      <c r="F76" s="69"/>
      <c r="G76" s="68"/>
      <c r="H76" s="68"/>
      <c r="I76" s="68"/>
      <c r="J76" s="68"/>
      <c r="K76" s="68"/>
    </row>
  </sheetData>
  <sheetProtection/>
  <mergeCells count="12">
    <mergeCell ref="I10:K10"/>
    <mergeCell ref="A31:K31"/>
    <mergeCell ref="A61:K61"/>
    <mergeCell ref="F63:I63"/>
    <mergeCell ref="A67:K67"/>
    <mergeCell ref="A69:K69"/>
    <mergeCell ref="A1:K1"/>
    <mergeCell ref="A2:K2"/>
    <mergeCell ref="A3:K3"/>
    <mergeCell ref="A4:K4"/>
    <mergeCell ref="A5:K5"/>
    <mergeCell ref="A8:K8"/>
  </mergeCells>
  <hyperlinks>
    <hyperlink ref="A4" r:id="rId1" display="www.vernondowns.com"/>
  </hyperlinks>
  <printOptions horizontalCentered="1"/>
  <pageMargins left="0.25" right="0.25" top="0.75" bottom="0.5" header="0.5" footer="0.5"/>
  <pageSetup fitToHeight="1" fitToWidth="1" horizontalDpi="600" verticalDpi="600" orientation="portrait" scale="75"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1">
      <selection activeCell="G27" sqref="G27"/>
    </sheetView>
  </sheetViews>
  <sheetFormatPr defaultColWidth="9.140625" defaultRowHeight="12.75"/>
  <cols>
    <col min="1" max="1" width="10.57421875" style="3" customWidth="1"/>
    <col min="2" max="2" width="15.57421875" style="16" customWidth="1"/>
    <col min="3" max="3" width="13.57421875" style="16" customWidth="1"/>
    <col min="4" max="4" width="14.140625" style="16" customWidth="1"/>
    <col min="5" max="5" width="12.7109375" style="16" customWidth="1"/>
    <col min="6" max="6" width="11.421875" style="17" customWidth="1"/>
    <col min="7" max="7" width="11.421875" style="16" customWidth="1"/>
    <col min="8" max="8" width="2.421875" style="16" customWidth="1"/>
    <col min="9" max="9" width="13.00390625" style="16" customWidth="1"/>
    <col min="10" max="10" width="12.7109375" style="16" customWidth="1"/>
    <col min="11" max="11" width="12.8515625" style="16" bestFit="1" customWidth="1"/>
    <col min="12" max="12" width="12.7109375" style="0" customWidth="1"/>
  </cols>
  <sheetData>
    <row r="1" spans="1:11" ht="18">
      <c r="A1" s="77" t="s">
        <v>52</v>
      </c>
      <c r="B1" s="77"/>
      <c r="C1" s="77"/>
      <c r="D1" s="77"/>
      <c r="E1" s="77"/>
      <c r="F1" s="77"/>
      <c r="G1" s="77"/>
      <c r="H1" s="77"/>
      <c r="I1" s="77"/>
      <c r="J1" s="77"/>
      <c r="K1" s="77"/>
    </row>
    <row r="2" spans="1:11" ht="15">
      <c r="A2" s="78" t="s">
        <v>0</v>
      </c>
      <c r="B2" s="78"/>
      <c r="C2" s="78"/>
      <c r="D2" s="78"/>
      <c r="E2" s="78"/>
      <c r="F2" s="78"/>
      <c r="G2" s="78"/>
      <c r="H2" s="78"/>
      <c r="I2" s="78"/>
      <c r="J2" s="78"/>
      <c r="K2" s="78"/>
    </row>
    <row r="3" spans="1:11" s="1" customFormat="1" ht="15">
      <c r="A3" s="78" t="s">
        <v>1</v>
      </c>
      <c r="B3" s="78"/>
      <c r="C3" s="78"/>
      <c r="D3" s="78"/>
      <c r="E3" s="78"/>
      <c r="F3" s="78"/>
      <c r="G3" s="78"/>
      <c r="H3" s="78"/>
      <c r="I3" s="78"/>
      <c r="J3" s="78"/>
      <c r="K3" s="78"/>
    </row>
    <row r="4" spans="1:11" s="1" customFormat="1" ht="14.25" customHeight="1">
      <c r="A4" s="79" t="s">
        <v>2</v>
      </c>
      <c r="B4" s="79"/>
      <c r="C4" s="79"/>
      <c r="D4" s="79"/>
      <c r="E4" s="79"/>
      <c r="F4" s="79"/>
      <c r="G4" s="79"/>
      <c r="H4" s="79"/>
      <c r="I4" s="79"/>
      <c r="J4" s="79"/>
      <c r="K4" s="79"/>
    </row>
    <row r="5" spans="1:11" s="1" customFormat="1" ht="14.25">
      <c r="A5" s="80" t="s">
        <v>84</v>
      </c>
      <c r="B5" s="80"/>
      <c r="C5" s="80"/>
      <c r="D5" s="80"/>
      <c r="E5" s="80"/>
      <c r="F5" s="80"/>
      <c r="G5" s="80"/>
      <c r="H5" s="80"/>
      <c r="I5" s="80"/>
      <c r="J5" s="80"/>
      <c r="K5" s="80"/>
    </row>
    <row r="6" spans="1:11" s="1" customFormat="1" ht="14.25">
      <c r="A6" s="2"/>
      <c r="B6" s="2"/>
      <c r="C6" s="2"/>
      <c r="D6" s="2"/>
      <c r="E6" s="2"/>
      <c r="F6" s="2"/>
      <c r="G6" s="2"/>
      <c r="H6" s="2"/>
      <c r="I6" s="2"/>
      <c r="J6" s="2"/>
      <c r="K6" s="2"/>
    </row>
    <row r="7" spans="1:11" s="1" customFormat="1" ht="12.75">
      <c r="A7" s="3"/>
      <c r="B7" s="4"/>
      <c r="C7" s="4"/>
      <c r="D7" s="4"/>
      <c r="E7" s="5"/>
      <c r="F7" s="6"/>
      <c r="G7" s="5"/>
      <c r="H7" s="5"/>
      <c r="I7" s="5"/>
      <c r="J7" s="5"/>
      <c r="K7" s="5"/>
    </row>
    <row r="8" spans="1:11" s="7" customFormat="1" ht="14.25" customHeight="1">
      <c r="A8" s="81" t="s">
        <v>113</v>
      </c>
      <c r="B8" s="82"/>
      <c r="C8" s="82"/>
      <c r="D8" s="82"/>
      <c r="E8" s="82"/>
      <c r="F8" s="82"/>
      <c r="G8" s="82"/>
      <c r="H8" s="82"/>
      <c r="I8" s="82"/>
      <c r="J8" s="82"/>
      <c r="K8" s="82"/>
    </row>
    <row r="9" spans="1:11" s="1" customFormat="1" ht="9" customHeight="1">
      <c r="A9" s="3"/>
      <c r="B9" s="4"/>
      <c r="C9" s="4"/>
      <c r="D9" s="4"/>
      <c r="E9" s="5"/>
      <c r="F9" s="6"/>
      <c r="G9" s="5"/>
      <c r="H9" s="5"/>
      <c r="I9" s="5"/>
      <c r="J9" s="5"/>
      <c r="K9" s="5"/>
    </row>
    <row r="10" spans="1:11" s="1" customFormat="1" ht="12.75">
      <c r="A10" s="3"/>
      <c r="B10" s="5"/>
      <c r="C10" s="5"/>
      <c r="D10" s="5"/>
      <c r="E10" s="5"/>
      <c r="F10" s="6"/>
      <c r="G10" s="5"/>
      <c r="H10" s="5"/>
      <c r="I10" s="83" t="s">
        <v>5</v>
      </c>
      <c r="J10" s="83"/>
      <c r="K10" s="83"/>
    </row>
    <row r="11" spans="1:11" s="1" customFormat="1" ht="12.75">
      <c r="A11" s="3"/>
      <c r="B11" s="5"/>
      <c r="C11" s="5"/>
      <c r="D11" s="5"/>
      <c r="E11" s="5"/>
      <c r="F11" s="6"/>
      <c r="G11" s="5"/>
      <c r="H11" s="5"/>
      <c r="I11" s="5"/>
      <c r="J11" s="5"/>
      <c r="K11" s="10"/>
    </row>
    <row r="12" spans="1:11" s="12" customFormat="1" ht="12">
      <c r="A12" s="9"/>
      <c r="B12" s="10" t="s">
        <v>6</v>
      </c>
      <c r="C12" s="10" t="s">
        <v>65</v>
      </c>
      <c r="D12" s="10" t="s">
        <v>6</v>
      </c>
      <c r="E12" s="10"/>
      <c r="F12" s="11" t="s">
        <v>7</v>
      </c>
      <c r="G12" s="10" t="s">
        <v>8</v>
      </c>
      <c r="H12" s="10"/>
      <c r="I12" s="10" t="s">
        <v>9</v>
      </c>
      <c r="J12" s="10" t="s">
        <v>74</v>
      </c>
      <c r="K12" s="10" t="s">
        <v>73</v>
      </c>
    </row>
    <row r="13" spans="1:11" s="12" customFormat="1" ht="12">
      <c r="A13" s="13" t="s">
        <v>11</v>
      </c>
      <c r="B13" s="8" t="s">
        <v>12</v>
      </c>
      <c r="C13" s="8" t="s">
        <v>19</v>
      </c>
      <c r="D13" s="8" t="s">
        <v>13</v>
      </c>
      <c r="E13" s="8" t="s">
        <v>14</v>
      </c>
      <c r="F13" s="14" t="s">
        <v>15</v>
      </c>
      <c r="G13" s="8" t="s">
        <v>16</v>
      </c>
      <c r="H13" s="15"/>
      <c r="I13" s="8" t="s">
        <v>17</v>
      </c>
      <c r="J13" s="8" t="s">
        <v>75</v>
      </c>
      <c r="K13" s="8" t="s">
        <v>18</v>
      </c>
    </row>
    <row r="15" spans="1:11" ht="12.75">
      <c r="A15" s="3">
        <v>43556</v>
      </c>
      <c r="B15" s="16">
        <v>34961498.33</v>
      </c>
      <c r="C15" s="16">
        <f>433281.53-688371</f>
        <v>-255089.46999999997</v>
      </c>
      <c r="D15" s="63">
        <f aca="true" t="shared" si="0" ref="D15:D26">IF(ISBLANK(B15),"",B15-C15-E15)</f>
        <v>32030869.29</v>
      </c>
      <c r="E15" s="16">
        <v>3185718.51</v>
      </c>
      <c r="F15" s="17">
        <f>15360/30</f>
        <v>512</v>
      </c>
      <c r="G15" s="16">
        <f>_xlfn.IFERROR((E15/F15/30)," ")</f>
        <v>207.403548828125</v>
      </c>
      <c r="I15" s="16">
        <v>1091732.04</v>
      </c>
      <c r="J15" s="16">
        <v>318571.85</v>
      </c>
      <c r="K15" s="16">
        <v>1775414.6</v>
      </c>
    </row>
    <row r="16" spans="1:11" ht="12.75">
      <c r="A16" s="3">
        <v>43586</v>
      </c>
      <c r="B16" s="16">
        <v>39405472.99</v>
      </c>
      <c r="C16" s="16">
        <f>499916.95-17805</f>
        <v>482111.95</v>
      </c>
      <c r="D16" s="63">
        <f t="shared" si="0"/>
        <v>36250415.55</v>
      </c>
      <c r="E16" s="16">
        <v>2672945.49</v>
      </c>
      <c r="F16" s="17">
        <f>15872/31</f>
        <v>512</v>
      </c>
      <c r="G16" s="16">
        <f>_xlfn.IFERROR((E16/F16/31)," ")</f>
        <v>168.40634387600807</v>
      </c>
      <c r="I16" s="16">
        <v>908801.49</v>
      </c>
      <c r="J16" s="16">
        <v>267294.57</v>
      </c>
      <c r="K16" s="16">
        <v>1496849.46</v>
      </c>
    </row>
    <row r="17" spans="1:11" ht="12.75">
      <c r="A17" s="3">
        <v>43617</v>
      </c>
      <c r="B17" s="16">
        <v>35572237.08</v>
      </c>
      <c r="C17" s="16">
        <f>494589.16-17510</f>
        <v>477079.16</v>
      </c>
      <c r="D17" s="63">
        <f t="shared" si="0"/>
        <v>32492034.490000002</v>
      </c>
      <c r="E17" s="16">
        <v>2603123.43</v>
      </c>
      <c r="F17" s="17">
        <f>15360/30</f>
        <v>512</v>
      </c>
      <c r="G17" s="16">
        <f>_xlfn.IFERROR((E17/F17/30)," ")</f>
        <v>169.474181640625</v>
      </c>
      <c r="I17" s="16">
        <v>885061.96</v>
      </c>
      <c r="J17" s="16">
        <v>260312.36</v>
      </c>
      <c r="K17" s="16">
        <v>1457749.12</v>
      </c>
    </row>
    <row r="18" spans="1:11" ht="12.75">
      <c r="A18" s="3">
        <v>43647</v>
      </c>
      <c r="B18" s="16">
        <v>36465238.66</v>
      </c>
      <c r="C18" s="16">
        <f>536431.17-19160</f>
        <v>517271.17000000004</v>
      </c>
      <c r="D18" s="63">
        <f t="shared" si="0"/>
        <v>33486963.749999993</v>
      </c>
      <c r="E18" s="16">
        <v>2461003.74</v>
      </c>
      <c r="F18" s="17">
        <f>15872/31</f>
        <v>512</v>
      </c>
      <c r="G18" s="16">
        <f aca="true" t="shared" si="1" ref="G18:G24">_xlfn.IFERROR((E18/F18/31)," ")</f>
        <v>155.05315902217743</v>
      </c>
      <c r="I18" s="16">
        <v>836741.25</v>
      </c>
      <c r="J18" s="16">
        <v>246100.38</v>
      </c>
      <c r="K18" s="16">
        <v>1378162.1</v>
      </c>
    </row>
    <row r="19" spans="1:11" ht="12.75">
      <c r="A19" s="3">
        <v>43678</v>
      </c>
      <c r="B19" s="16">
        <v>37101635.78000001</v>
      </c>
      <c r="C19" s="16">
        <v>526433.31</v>
      </c>
      <c r="D19" s="63">
        <f t="shared" si="0"/>
        <v>34053691.06953501</v>
      </c>
      <c r="E19" s="16">
        <v>2521511.4004649995</v>
      </c>
      <c r="F19" s="17">
        <f>15872/31</f>
        <v>512</v>
      </c>
      <c r="G19" s="16">
        <f t="shared" si="1"/>
        <v>158.86538561397427</v>
      </c>
      <c r="I19" s="16">
        <v>857313.9</v>
      </c>
      <c r="J19" s="16">
        <v>252151.13999999996</v>
      </c>
      <c r="K19" s="16">
        <v>1412046.38</v>
      </c>
    </row>
    <row r="20" spans="1:11" ht="12.75">
      <c r="A20" s="3">
        <v>43709</v>
      </c>
      <c r="B20" s="16">
        <v>37058000.830000006</v>
      </c>
      <c r="C20" s="16">
        <v>561302.52</v>
      </c>
      <c r="D20" s="63">
        <f t="shared" si="0"/>
        <v>34052043.86</v>
      </c>
      <c r="E20" s="16">
        <v>2444654.4500000067</v>
      </c>
      <c r="F20" s="17">
        <f>15360/30</f>
        <v>512</v>
      </c>
      <c r="G20" s="16">
        <f>_xlfn.IFERROR((E20/F20/30)," ")</f>
        <v>159.15719075520877</v>
      </c>
      <c r="I20" s="16">
        <f>E20*0.34</f>
        <v>831182.5130000024</v>
      </c>
      <c r="J20" s="16">
        <f>E20*0.1</f>
        <v>244465.44500000068</v>
      </c>
      <c r="K20" s="16">
        <f>E20*0.56</f>
        <v>1369006.4920000038</v>
      </c>
    </row>
    <row r="21" spans="1:11" ht="12.75">
      <c r="A21" s="3">
        <v>43739</v>
      </c>
      <c r="B21" s="16">
        <v>37175565.56</v>
      </c>
      <c r="C21" s="16">
        <v>574132.41</v>
      </c>
      <c r="D21" s="63">
        <f t="shared" si="0"/>
        <v>34059808.49</v>
      </c>
      <c r="E21" s="16">
        <v>2541624.6600000053</v>
      </c>
      <c r="F21" s="17">
        <f>15872/31</f>
        <v>512</v>
      </c>
      <c r="G21" s="16">
        <f t="shared" si="1"/>
        <v>160.1326020665326</v>
      </c>
      <c r="I21" s="16">
        <v>864152.3800000001</v>
      </c>
      <c r="J21" s="16">
        <v>254162.47</v>
      </c>
      <c r="K21" s="16">
        <v>1423309.8199999996</v>
      </c>
    </row>
    <row r="22" spans="1:11" ht="12.75">
      <c r="A22" s="3">
        <v>43770</v>
      </c>
      <c r="B22" s="16">
        <v>33375362.339999996</v>
      </c>
      <c r="C22" s="16">
        <v>450573.39999999997</v>
      </c>
      <c r="D22" s="63">
        <f t="shared" si="0"/>
        <v>30633382.88</v>
      </c>
      <c r="E22" s="16">
        <v>2291406.0599999996</v>
      </c>
      <c r="F22" s="17">
        <f>15360/30</f>
        <v>512</v>
      </c>
      <c r="G22" s="16">
        <f>_xlfn.IFERROR((E22/F22/30)," ")</f>
        <v>149.18008203124998</v>
      </c>
      <c r="I22" s="16">
        <v>779078.04</v>
      </c>
      <c r="J22" s="16">
        <v>229140.62000000002</v>
      </c>
      <c r="K22" s="16">
        <v>1283187.3900000001</v>
      </c>
    </row>
    <row r="23" spans="1:11" ht="12.75">
      <c r="A23" s="3">
        <v>43800</v>
      </c>
      <c r="B23" s="16">
        <v>30390802.54</v>
      </c>
      <c r="C23" s="16">
        <v>418415.50000000006</v>
      </c>
      <c r="D23" s="63">
        <f t="shared" si="0"/>
        <v>27974022.98</v>
      </c>
      <c r="E23" s="16">
        <v>1998364.0600000003</v>
      </c>
      <c r="F23" s="17">
        <f>15872/31</f>
        <v>512</v>
      </c>
      <c r="G23" s="16">
        <f t="shared" si="1"/>
        <v>125.90499369959679</v>
      </c>
      <c r="I23" s="16">
        <v>679443.7799999999</v>
      </c>
      <c r="J23" s="16">
        <v>199836.39</v>
      </c>
      <c r="K23" s="16">
        <v>1119083.8599999999</v>
      </c>
    </row>
    <row r="24" spans="1:11" ht="12.75">
      <c r="A24" s="3">
        <v>43831</v>
      </c>
      <c r="B24" s="16">
        <v>31848238.18</v>
      </c>
      <c r="C24" s="16">
        <v>431420.54</v>
      </c>
      <c r="D24" s="63">
        <f t="shared" si="0"/>
        <v>29183690.86</v>
      </c>
      <c r="E24" s="16">
        <v>2233126.78</v>
      </c>
      <c r="F24" s="17">
        <f>15872/31</f>
        <v>512</v>
      </c>
      <c r="G24" s="16">
        <f t="shared" si="1"/>
        <v>140.69599168346772</v>
      </c>
      <c r="I24" s="16">
        <v>759263.13</v>
      </c>
      <c r="J24" s="16">
        <v>223312.67</v>
      </c>
      <c r="K24" s="16">
        <v>1250551</v>
      </c>
    </row>
    <row r="25" spans="1:11" ht="12.75">
      <c r="A25" s="3">
        <v>43862</v>
      </c>
      <c r="B25" s="16">
        <v>32288089.42000001</v>
      </c>
      <c r="C25" s="16">
        <v>390043.42</v>
      </c>
      <c r="D25" s="63">
        <f t="shared" si="0"/>
        <v>29625406.560000006</v>
      </c>
      <c r="E25" s="16">
        <v>2272639.44</v>
      </c>
      <c r="F25" s="17">
        <f>14848/29</f>
        <v>512</v>
      </c>
      <c r="G25" s="16">
        <f>_xlfn.IFERROR((E25/F25/29)," ")</f>
        <v>153.06030711206895</v>
      </c>
      <c r="I25" s="16">
        <v>772697.4300000002</v>
      </c>
      <c r="J25" s="16">
        <v>227263.96</v>
      </c>
      <c r="K25" s="16">
        <v>1272678.0900000003</v>
      </c>
    </row>
    <row r="26" spans="1:11" ht="12.75">
      <c r="A26" s="3">
        <v>43891</v>
      </c>
      <c r="B26" s="16">
        <v>16086047.649999999</v>
      </c>
      <c r="C26" s="16">
        <v>206835.1</v>
      </c>
      <c r="D26" s="63">
        <f t="shared" si="0"/>
        <v>14748915.78</v>
      </c>
      <c r="E26" s="16">
        <v>1130296.77</v>
      </c>
      <c r="F26" s="17">
        <f>8192/16</f>
        <v>512</v>
      </c>
      <c r="G26" s="16">
        <f>_xlfn.IFERROR((E26/F26/16)," ")</f>
        <v>137.97567993164063</v>
      </c>
      <c r="I26" s="16">
        <v>384300.92</v>
      </c>
      <c r="J26" s="16">
        <v>113029.7</v>
      </c>
      <c r="K26" s="16">
        <v>632966.17</v>
      </c>
    </row>
    <row r="27" spans="1:11" ht="13.5" thickBot="1">
      <c r="A27" s="60" t="s">
        <v>20</v>
      </c>
      <c r="B27" s="61">
        <f>SUM(B15:B26)</f>
        <v>401728189.36</v>
      </c>
      <c r="C27" s="61">
        <f>SUM(C15:C26)</f>
        <v>4780529.01</v>
      </c>
      <c r="D27" s="61">
        <f>SUM(D15:D26)</f>
        <v>368591245.559535</v>
      </c>
      <c r="E27" s="61">
        <f>SUM(E15:E26)</f>
        <v>28356414.79046501</v>
      </c>
      <c r="F27" s="62">
        <f>_xlfn.IFERROR(AVERAGE(F15:F26),"")</f>
        <v>512</v>
      </c>
      <c r="G27" s="61">
        <f>E27/F27/351</f>
        <v>157.78809868269792</v>
      </c>
      <c r="H27" s="33"/>
      <c r="I27" s="61">
        <f>SUM(I15:I26)</f>
        <v>9649768.833000002</v>
      </c>
      <c r="J27" s="61">
        <f>SUM(J15:J26)</f>
        <v>2835641.5550000006</v>
      </c>
      <c r="K27" s="61">
        <f>SUM(K15:K26)</f>
        <v>15871004.482000003</v>
      </c>
    </row>
    <row r="28" spans="2:11" ht="10.5" customHeight="1" thickTop="1">
      <c r="B28" s="19"/>
      <c r="C28" s="19"/>
      <c r="D28" s="19"/>
      <c r="E28" s="19"/>
      <c r="I28" s="19"/>
      <c r="J28" s="19"/>
      <c r="K28" s="19"/>
    </row>
    <row r="29" spans="1:11" s="22" customFormat="1" ht="12.75">
      <c r="A29" s="20"/>
      <c r="B29" s="21"/>
      <c r="C29" s="21">
        <f>_xlfn.IFERROR(C27/B27,"")</f>
        <v>0.011899909283478317</v>
      </c>
      <c r="D29" s="21">
        <f>_xlfn.IFERROR(D27/B27,"")</f>
        <v>0.9175140189856827</v>
      </c>
      <c r="E29" s="21">
        <f>_xlfn.IFERROR(E27/B27,"")</f>
        <v>0.07058607173083893</v>
      </c>
      <c r="I29" s="21">
        <f>_xlfn.IFERROR(I27/$E$27,"")</f>
        <v>0.3403028522577822</v>
      </c>
      <c r="J29" s="21">
        <f>_xlfn.IFERROR(J27/$E$27,"")</f>
        <v>0.10000000267852972</v>
      </c>
      <c r="K29" s="21">
        <f>_xlfn.IFERROR(K27/$E$27,"")</f>
        <v>0.5596971478685208</v>
      </c>
    </row>
    <row r="31" spans="1:11" s="23" customFormat="1" ht="12.75">
      <c r="A31" s="81" t="s">
        <v>21</v>
      </c>
      <c r="B31" s="82"/>
      <c r="C31" s="82"/>
      <c r="D31" s="82"/>
      <c r="E31" s="82"/>
      <c r="F31" s="82"/>
      <c r="G31" s="82"/>
      <c r="H31" s="82"/>
      <c r="I31" s="82"/>
      <c r="J31" s="82"/>
      <c r="K31" s="82"/>
    </row>
    <row r="32" ht="12.75">
      <c r="A32" s="24"/>
    </row>
    <row r="33" spans="1:11" s="45" customFormat="1" ht="12.75" customHeight="1">
      <c r="A33" s="41" t="s">
        <v>22</v>
      </c>
      <c r="B33" s="42"/>
      <c r="C33" s="43" t="s">
        <v>87</v>
      </c>
      <c r="D33" s="44"/>
      <c r="E33" s="44"/>
      <c r="F33" s="44"/>
      <c r="G33" s="44"/>
      <c r="H33" s="44"/>
      <c r="I33" s="44"/>
      <c r="J33" s="44"/>
      <c r="K33" s="44"/>
    </row>
    <row r="34" spans="1:11" s="45" customFormat="1" ht="12.75" customHeight="1">
      <c r="A34" s="41"/>
      <c r="B34" s="42"/>
      <c r="C34" s="43" t="s">
        <v>88</v>
      </c>
      <c r="D34" s="44"/>
      <c r="E34" s="44"/>
      <c r="F34" s="44"/>
      <c r="G34" s="44"/>
      <c r="H34" s="44"/>
      <c r="I34" s="44"/>
      <c r="J34" s="44"/>
      <c r="K34" s="44"/>
    </row>
    <row r="35" spans="1:11" s="45" customFormat="1" ht="6" customHeight="1">
      <c r="A35" s="41"/>
      <c r="B35" s="42"/>
      <c r="C35" s="43"/>
      <c r="E35" s="44"/>
      <c r="F35" s="44"/>
      <c r="G35" s="44"/>
      <c r="H35" s="44"/>
      <c r="I35" s="44"/>
      <c r="J35" s="44"/>
      <c r="K35" s="44"/>
    </row>
    <row r="36" spans="1:11" ht="12.75">
      <c r="A36" s="25" t="s">
        <v>90</v>
      </c>
      <c r="B36" s="26"/>
      <c r="C36" s="26" t="s">
        <v>79</v>
      </c>
      <c r="F36" s="26"/>
      <c r="G36" s="26"/>
      <c r="H36" s="26"/>
      <c r="I36" s="26"/>
      <c r="J36" s="26"/>
      <c r="K36" s="26"/>
    </row>
    <row r="37" spans="1:11" s="45" customFormat="1" ht="6" customHeight="1">
      <c r="A37" s="41"/>
      <c r="B37" s="42"/>
      <c r="C37" s="43"/>
      <c r="E37" s="46"/>
      <c r="F37" s="43"/>
      <c r="G37" s="43"/>
      <c r="H37" s="43"/>
      <c r="I37" s="43"/>
      <c r="J37" s="42"/>
      <c r="K37" s="42"/>
    </row>
    <row r="38" spans="1:11" s="45" customFormat="1" ht="12.75">
      <c r="A38" s="41" t="s">
        <v>23</v>
      </c>
      <c r="B38" s="42"/>
      <c r="C38" s="43" t="s">
        <v>94</v>
      </c>
      <c r="E38" s="46"/>
      <c r="F38" s="43"/>
      <c r="G38" s="43"/>
      <c r="H38" s="43"/>
      <c r="I38" s="43"/>
      <c r="J38" s="42"/>
      <c r="K38" s="42"/>
    </row>
    <row r="39" spans="1:11" s="45" customFormat="1" ht="6" customHeight="1">
      <c r="A39" s="41"/>
      <c r="B39" s="42"/>
      <c r="C39" s="43"/>
      <c r="E39" s="46"/>
      <c r="F39" s="43"/>
      <c r="G39" s="43"/>
      <c r="H39" s="43"/>
      <c r="I39" s="43"/>
      <c r="J39" s="42"/>
      <c r="K39" s="42"/>
    </row>
    <row r="40" spans="1:11" s="45" customFormat="1" ht="12.75">
      <c r="A40" s="41" t="s">
        <v>25</v>
      </c>
      <c r="B40" s="42"/>
      <c r="C40" s="42" t="s">
        <v>55</v>
      </c>
      <c r="E40" s="46"/>
      <c r="F40" s="47"/>
      <c r="G40" s="42"/>
      <c r="H40" s="42"/>
      <c r="I40" s="42"/>
      <c r="J40" s="42"/>
      <c r="K40" s="42"/>
    </row>
    <row r="41" spans="1:11" s="45" customFormat="1" ht="12.75">
      <c r="A41" s="41"/>
      <c r="B41" s="42"/>
      <c r="C41" s="42" t="s">
        <v>56</v>
      </c>
      <c r="E41" s="46"/>
      <c r="F41" s="47"/>
      <c r="G41" s="42"/>
      <c r="H41" s="42"/>
      <c r="I41" s="42"/>
      <c r="J41" s="42"/>
      <c r="K41" s="42"/>
    </row>
    <row r="42" spans="1:11" s="45" customFormat="1" ht="6" customHeight="1">
      <c r="A42" s="41"/>
      <c r="B42" s="42"/>
      <c r="C42" s="42"/>
      <c r="E42" s="46"/>
      <c r="F42" s="47"/>
      <c r="G42" s="42"/>
      <c r="H42" s="42"/>
      <c r="I42" s="42"/>
      <c r="J42" s="42"/>
      <c r="K42" s="42"/>
    </row>
    <row r="43" spans="1:11" s="45" customFormat="1" ht="12.75">
      <c r="A43" s="41" t="s">
        <v>28</v>
      </c>
      <c r="B43" s="42"/>
      <c r="C43" s="42" t="s">
        <v>29</v>
      </c>
      <c r="E43" s="46"/>
      <c r="F43" s="47"/>
      <c r="G43" s="42"/>
      <c r="H43" s="42"/>
      <c r="I43" s="42"/>
      <c r="J43" s="42"/>
      <c r="K43" s="42"/>
    </row>
    <row r="44" spans="1:11" s="45" customFormat="1" ht="6" customHeight="1">
      <c r="A44" s="41"/>
      <c r="B44" s="42"/>
      <c r="C44" s="42"/>
      <c r="D44" s="42"/>
      <c r="E44" s="46"/>
      <c r="F44" s="47"/>
      <c r="G44" s="42"/>
      <c r="H44" s="42"/>
      <c r="I44" s="42"/>
      <c r="J44" s="42"/>
      <c r="K44" s="42"/>
    </row>
    <row r="45" spans="1:11" s="45" customFormat="1" ht="12.75">
      <c r="A45" s="41" t="s">
        <v>68</v>
      </c>
      <c r="B45" s="42"/>
      <c r="C45" s="42" t="s">
        <v>69</v>
      </c>
      <c r="D45" s="46"/>
      <c r="E45" s="47"/>
      <c r="F45" s="42"/>
      <c r="G45" s="42"/>
      <c r="H45" s="42"/>
      <c r="I45" s="42"/>
      <c r="J45" s="42"/>
      <c r="K45" s="42"/>
    </row>
    <row r="46" spans="1:11" s="45" customFormat="1" ht="12.75">
      <c r="A46" s="41"/>
      <c r="B46" s="42"/>
      <c r="C46" s="42" t="s">
        <v>76</v>
      </c>
      <c r="D46" s="46"/>
      <c r="E46" s="47"/>
      <c r="F46" s="42"/>
      <c r="G46" s="42"/>
      <c r="H46" s="42"/>
      <c r="I46" s="42"/>
      <c r="J46" s="42"/>
      <c r="K46" s="42"/>
    </row>
    <row r="47" spans="1:11" s="45" customFormat="1" ht="12.75">
      <c r="A47" s="41"/>
      <c r="B47" s="42"/>
      <c r="C47" s="42" t="s">
        <v>77</v>
      </c>
      <c r="D47" s="46"/>
      <c r="E47" s="47"/>
      <c r="F47" s="42"/>
      <c r="G47" s="42"/>
      <c r="H47" s="42"/>
      <c r="I47" s="42"/>
      <c r="J47" s="42"/>
      <c r="K47" s="42"/>
    </row>
    <row r="48" spans="1:11" s="45" customFormat="1" ht="3" customHeight="1">
      <c r="A48" s="41"/>
      <c r="B48" s="42"/>
      <c r="C48" s="42"/>
      <c r="D48" s="65"/>
      <c r="E48" s="47"/>
      <c r="F48" s="42"/>
      <c r="G48" s="42"/>
      <c r="H48" s="42"/>
      <c r="I48" s="42"/>
      <c r="J48" s="42"/>
      <c r="K48" s="42"/>
    </row>
    <row r="49" spans="1:11" s="45" customFormat="1" ht="12.75" customHeight="1">
      <c r="A49" s="41"/>
      <c r="B49" s="42"/>
      <c r="C49" s="43" t="s">
        <v>115</v>
      </c>
      <c r="D49" s="43"/>
      <c r="E49" s="43"/>
      <c r="F49" s="43"/>
      <c r="G49" s="43"/>
      <c r="H49" s="43"/>
      <c r="I49" s="43"/>
      <c r="J49" s="43"/>
      <c r="K49" s="43"/>
    </row>
    <row r="50" spans="1:11" s="45" customFormat="1" ht="12.75">
      <c r="A50" s="41"/>
      <c r="B50" s="42"/>
      <c r="C50" s="43" t="s">
        <v>116</v>
      </c>
      <c r="D50" s="43"/>
      <c r="E50" s="43"/>
      <c r="F50" s="43"/>
      <c r="G50" s="43"/>
      <c r="H50" s="43"/>
      <c r="I50" s="43"/>
      <c r="J50" s="43"/>
      <c r="K50" s="43"/>
    </row>
    <row r="51" spans="1:11" s="45" customFormat="1" ht="12.75">
      <c r="A51" s="41"/>
      <c r="B51" s="42"/>
      <c r="C51" s="43" t="s">
        <v>117</v>
      </c>
      <c r="D51" s="43"/>
      <c r="E51" s="43"/>
      <c r="F51" s="43"/>
      <c r="G51" s="43"/>
      <c r="H51" s="43"/>
      <c r="I51" s="43"/>
      <c r="J51" s="43"/>
      <c r="K51" s="43"/>
    </row>
    <row r="52" spans="1:11" s="45" customFormat="1" ht="6" customHeight="1">
      <c r="A52" s="41"/>
      <c r="B52" s="42"/>
      <c r="C52" s="42"/>
      <c r="D52" s="42"/>
      <c r="E52" s="46"/>
      <c r="F52" s="47"/>
      <c r="G52" s="42"/>
      <c r="H52" s="42"/>
      <c r="I52" s="42"/>
      <c r="J52" s="42"/>
      <c r="K52" s="42"/>
    </row>
    <row r="53" spans="1:11" s="45" customFormat="1" ht="12.75">
      <c r="A53" s="41" t="s">
        <v>78</v>
      </c>
      <c r="B53" s="42"/>
      <c r="C53" s="42" t="s">
        <v>71</v>
      </c>
      <c r="D53" s="46"/>
      <c r="E53" s="47"/>
      <c r="F53" s="42"/>
      <c r="G53" s="42"/>
      <c r="H53" s="42"/>
      <c r="I53" s="42"/>
      <c r="J53" s="42"/>
      <c r="K53" s="42"/>
    </row>
    <row r="54" spans="1:11" s="45" customFormat="1" ht="12.75">
      <c r="A54" s="48"/>
      <c r="B54" s="42"/>
      <c r="C54" s="42" t="s">
        <v>72</v>
      </c>
      <c r="D54" s="46"/>
      <c r="E54" s="47"/>
      <c r="F54" s="42"/>
      <c r="G54" s="42"/>
      <c r="H54" s="42"/>
      <c r="I54" s="42"/>
      <c r="J54" s="42"/>
      <c r="K54" s="42"/>
    </row>
    <row r="55" spans="1:11" s="45" customFormat="1" ht="12.75">
      <c r="A55" s="41"/>
      <c r="B55" s="42"/>
      <c r="C55" s="42"/>
      <c r="E55" s="46"/>
      <c r="F55" s="47"/>
      <c r="G55" s="42"/>
      <c r="H55" s="42"/>
      <c r="I55" s="42"/>
      <c r="J55" s="42"/>
      <c r="K55" s="42"/>
    </row>
    <row r="56" spans="1:11" s="45" customFormat="1" ht="12.75">
      <c r="A56" s="41" t="s">
        <v>118</v>
      </c>
      <c r="B56" s="16"/>
      <c r="C56" s="64" t="s">
        <v>119</v>
      </c>
      <c r="D56" s="16"/>
      <c r="E56" s="16"/>
      <c r="F56" s="17"/>
      <c r="G56" s="16"/>
      <c r="H56" s="16"/>
      <c r="I56" s="16"/>
      <c r="J56" s="16"/>
      <c r="K56" s="16"/>
    </row>
    <row r="57" spans="1:11" s="45" customFormat="1" ht="12.75">
      <c r="A57" s="3"/>
      <c r="B57" s="16"/>
      <c r="C57" s="66"/>
      <c r="D57" s="16"/>
      <c r="E57" s="16"/>
      <c r="F57" s="17"/>
      <c r="G57" s="16"/>
      <c r="H57" s="16"/>
      <c r="I57" s="16"/>
      <c r="J57" s="16"/>
      <c r="K57" s="16"/>
    </row>
    <row r="58" spans="1:11" s="45" customFormat="1" ht="12.75">
      <c r="A58" s="41" t="s">
        <v>103</v>
      </c>
      <c r="B58" s="42"/>
      <c r="C58" s="23" t="s">
        <v>104</v>
      </c>
      <c r="E58" s="46"/>
      <c r="F58" s="47"/>
      <c r="G58" s="42"/>
      <c r="H58" s="42"/>
      <c r="I58" s="42"/>
      <c r="J58" s="42"/>
      <c r="K58" s="42"/>
    </row>
    <row r="59" spans="1:11" s="45" customFormat="1" ht="12.75">
      <c r="A59" s="48"/>
      <c r="B59" s="42"/>
      <c r="C59" s="16" t="s">
        <v>105</v>
      </c>
      <c r="E59" s="46"/>
      <c r="F59" s="47"/>
      <c r="G59" s="42"/>
      <c r="H59" s="42"/>
      <c r="I59" s="42"/>
      <c r="J59" s="42"/>
      <c r="K59" s="42"/>
    </row>
    <row r="60" spans="1:11" ht="12.75">
      <c r="A60" s="28"/>
      <c r="B60" s="26"/>
      <c r="C60" s="26"/>
      <c r="D60" s="26"/>
      <c r="F60" s="27"/>
      <c r="G60" s="26"/>
      <c r="H60" s="26"/>
      <c r="I60" s="26"/>
      <c r="J60" s="26"/>
      <c r="K60" s="26"/>
    </row>
    <row r="61" spans="1:11" ht="12.75">
      <c r="A61" s="81" t="s">
        <v>31</v>
      </c>
      <c r="B61" s="82"/>
      <c r="C61" s="82"/>
      <c r="D61" s="82"/>
      <c r="E61" s="82"/>
      <c r="F61" s="82"/>
      <c r="G61" s="82"/>
      <c r="H61" s="82"/>
      <c r="I61" s="82"/>
      <c r="J61" s="82"/>
      <c r="K61" s="82"/>
    </row>
    <row r="62" ht="12.75">
      <c r="A62" s="24"/>
    </row>
    <row r="63" spans="1:9" ht="13.5">
      <c r="A63" s="32"/>
      <c r="D63" s="10" t="s">
        <v>9</v>
      </c>
      <c r="E63" s="53" t="s">
        <v>74</v>
      </c>
      <c r="F63" s="83" t="s">
        <v>83</v>
      </c>
      <c r="G63" s="83"/>
      <c r="H63" s="83"/>
      <c r="I63" s="83"/>
    </row>
    <row r="64" spans="1:9" ht="12.75">
      <c r="A64" s="35"/>
      <c r="D64" s="8" t="s">
        <v>17</v>
      </c>
      <c r="E64" s="54" t="s">
        <v>75</v>
      </c>
      <c r="F64" s="8" t="s">
        <v>80</v>
      </c>
      <c r="G64" s="57" t="s">
        <v>81</v>
      </c>
      <c r="H64" s="36"/>
      <c r="I64" s="8" t="s">
        <v>82</v>
      </c>
    </row>
    <row r="65" spans="2:9" ht="12.75">
      <c r="B65" s="37"/>
      <c r="C65" s="37"/>
      <c r="D65" s="55">
        <f>27.6%+6.4%</f>
        <v>0.34</v>
      </c>
      <c r="E65" s="55">
        <v>0.1</v>
      </c>
      <c r="F65" s="55">
        <v>0.46</v>
      </c>
      <c r="G65" s="58">
        <v>0.0875</v>
      </c>
      <c r="H65" s="56"/>
      <c r="I65" s="55">
        <v>0.0125</v>
      </c>
    </row>
    <row r="66" spans="1:11" s="23" customFormat="1" ht="12.75">
      <c r="A66" s="3"/>
      <c r="B66" s="37"/>
      <c r="C66" s="37"/>
      <c r="D66" s="37"/>
      <c r="E66" s="26"/>
      <c r="F66" s="27"/>
      <c r="G66" s="38"/>
      <c r="H66" s="26"/>
      <c r="I66" s="38"/>
      <c r="J66" s="38"/>
      <c r="K66" s="38"/>
    </row>
    <row r="67" spans="1:11" ht="12.75">
      <c r="A67" s="84" t="s">
        <v>39</v>
      </c>
      <c r="B67" s="85"/>
      <c r="C67" s="85"/>
      <c r="D67" s="85"/>
      <c r="E67" s="85"/>
      <c r="F67" s="85"/>
      <c r="G67" s="85"/>
      <c r="H67" s="85"/>
      <c r="I67" s="85"/>
      <c r="J67" s="85"/>
      <c r="K67" s="85"/>
    </row>
    <row r="68" spans="1:6" ht="9.75" customHeight="1">
      <c r="A68" s="24"/>
      <c r="E68"/>
      <c r="F68" s="16"/>
    </row>
    <row r="69" spans="1:11" ht="54" customHeight="1">
      <c r="A69" s="86" t="s">
        <v>114</v>
      </c>
      <c r="B69" s="87"/>
      <c r="C69" s="87"/>
      <c r="D69" s="87"/>
      <c r="E69" s="87"/>
      <c r="F69" s="87"/>
      <c r="G69" s="87"/>
      <c r="H69" s="87"/>
      <c r="I69" s="87"/>
      <c r="J69" s="87"/>
      <c r="K69" s="87"/>
    </row>
    <row r="70" spans="1:6" ht="12.75">
      <c r="A70" s="16"/>
      <c r="E70"/>
      <c r="F70" s="16"/>
    </row>
    <row r="71" spans="2:5" ht="12.75">
      <c r="B71" s="24" t="s">
        <v>40</v>
      </c>
      <c r="C71" s="24"/>
      <c r="D71" s="24"/>
      <c r="E71" s="16">
        <v>137103</v>
      </c>
    </row>
    <row r="72" spans="2:5" ht="12.75">
      <c r="B72" s="24" t="s">
        <v>41</v>
      </c>
      <c r="C72" s="24"/>
      <c r="D72" s="24"/>
      <c r="E72" s="16">
        <v>231788</v>
      </c>
    </row>
    <row r="73" spans="2:5" ht="12.75">
      <c r="B73" s="16" t="s">
        <v>42</v>
      </c>
      <c r="E73" s="16">
        <v>256796</v>
      </c>
    </row>
    <row r="74" ht="7.5" customHeight="1">
      <c r="E74" s="16" t="s">
        <v>36</v>
      </c>
    </row>
    <row r="76" ht="12.75">
      <c r="A76" s="28" t="s">
        <v>91</v>
      </c>
    </row>
  </sheetData>
  <sheetProtection/>
  <mergeCells count="12">
    <mergeCell ref="A1:K1"/>
    <mergeCell ref="A2:K2"/>
    <mergeCell ref="A3:K3"/>
    <mergeCell ref="A4:K4"/>
    <mergeCell ref="A5:K5"/>
    <mergeCell ref="A8:K8"/>
    <mergeCell ref="I10:K10"/>
    <mergeCell ref="A31:K31"/>
    <mergeCell ref="A61:K61"/>
    <mergeCell ref="F63:I63"/>
    <mergeCell ref="A67:K67"/>
    <mergeCell ref="A69:K69"/>
  </mergeCells>
  <hyperlinks>
    <hyperlink ref="A4" r:id="rId1" display="www.vernondowns.com"/>
  </hyperlinks>
  <printOptions horizontalCentered="1"/>
  <pageMargins left="0.25" right="0.25" top="0.75" bottom="0.5" header="0.5" footer="0.5"/>
  <pageSetup fitToHeight="1" fitToWidth="1" horizontalDpi="600" verticalDpi="600" orientation="portrait" scale="75" r:id="rId3"/>
  <ignoredErrors>
    <ignoredError sqref="G16:G24" formula="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A1:M80"/>
  <sheetViews>
    <sheetView zoomScalePageLayoutView="0" workbookViewId="0" topLeftCell="A16">
      <selection activeCell="G27" sqref="G27"/>
    </sheetView>
  </sheetViews>
  <sheetFormatPr defaultColWidth="9.140625" defaultRowHeight="12.75"/>
  <cols>
    <col min="1" max="1" width="10.57421875" style="3" customWidth="1"/>
    <col min="2" max="2" width="15.57421875" style="16" customWidth="1"/>
    <col min="3" max="3" width="13.57421875" style="16" customWidth="1"/>
    <col min="4" max="4" width="14.140625" style="16" customWidth="1"/>
    <col min="5" max="5" width="12.7109375" style="16" customWidth="1"/>
    <col min="6" max="6" width="8.57421875" style="17" customWidth="1"/>
    <col min="7" max="7" width="9.57421875" style="16" customWidth="1"/>
    <col min="8" max="8" width="1.421875" style="16" customWidth="1"/>
    <col min="9" max="9" width="13.00390625" style="16" customWidth="1"/>
    <col min="10" max="10" width="12.7109375" style="16" customWidth="1"/>
    <col min="11" max="12" width="12.8515625" style="16" bestFit="1" customWidth="1"/>
    <col min="13" max="13" width="11.28125" style="16" customWidth="1"/>
    <col min="14" max="14" width="12.7109375" style="0" customWidth="1"/>
  </cols>
  <sheetData>
    <row r="1" spans="1:13" ht="18">
      <c r="A1" s="77" t="s">
        <v>52</v>
      </c>
      <c r="B1" s="77"/>
      <c r="C1" s="77"/>
      <c r="D1" s="77"/>
      <c r="E1" s="77"/>
      <c r="F1" s="77"/>
      <c r="G1" s="77"/>
      <c r="H1" s="77"/>
      <c r="I1" s="77"/>
      <c r="J1" s="77"/>
      <c r="K1" s="77"/>
      <c r="L1" s="77"/>
      <c r="M1" s="77"/>
    </row>
    <row r="2" spans="1:13" ht="15">
      <c r="A2" s="78" t="s">
        <v>0</v>
      </c>
      <c r="B2" s="78"/>
      <c r="C2" s="78"/>
      <c r="D2" s="78"/>
      <c r="E2" s="78"/>
      <c r="F2" s="78"/>
      <c r="G2" s="78"/>
      <c r="H2" s="78"/>
      <c r="I2" s="78"/>
      <c r="J2" s="78"/>
      <c r="K2" s="78"/>
      <c r="L2" s="78"/>
      <c r="M2" s="78"/>
    </row>
    <row r="3" spans="1:13" s="1" customFormat="1" ht="15">
      <c r="A3" s="78" t="s">
        <v>1</v>
      </c>
      <c r="B3" s="78"/>
      <c r="C3" s="78"/>
      <c r="D3" s="78"/>
      <c r="E3" s="78"/>
      <c r="F3" s="78"/>
      <c r="G3" s="78"/>
      <c r="H3" s="78"/>
      <c r="I3" s="78"/>
      <c r="J3" s="78"/>
      <c r="K3" s="78"/>
      <c r="L3" s="78"/>
      <c r="M3" s="78"/>
    </row>
    <row r="4" spans="1:13" s="1" customFormat="1" ht="14.25" customHeight="1">
      <c r="A4" s="79" t="s">
        <v>2</v>
      </c>
      <c r="B4" s="79"/>
      <c r="C4" s="79"/>
      <c r="D4" s="79"/>
      <c r="E4" s="79"/>
      <c r="F4" s="79"/>
      <c r="G4" s="79"/>
      <c r="H4" s="79"/>
      <c r="I4" s="79"/>
      <c r="J4" s="79"/>
      <c r="K4" s="79"/>
      <c r="L4" s="79"/>
      <c r="M4" s="79"/>
    </row>
    <row r="5" spans="1:13" s="1" customFormat="1" ht="14.25">
      <c r="A5" s="80" t="s">
        <v>84</v>
      </c>
      <c r="B5" s="80"/>
      <c r="C5" s="80"/>
      <c r="D5" s="80"/>
      <c r="E5" s="80"/>
      <c r="F5" s="80"/>
      <c r="G5" s="80"/>
      <c r="H5" s="80"/>
      <c r="I5" s="80"/>
      <c r="J5" s="80"/>
      <c r="K5" s="80"/>
      <c r="L5" s="80"/>
      <c r="M5" s="80"/>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81" t="s">
        <v>102</v>
      </c>
      <c r="B8" s="82"/>
      <c r="C8" s="82"/>
      <c r="D8" s="82"/>
      <c r="E8" s="82"/>
      <c r="F8" s="82"/>
      <c r="G8" s="82"/>
      <c r="H8" s="82"/>
      <c r="I8" s="82"/>
      <c r="J8" s="82"/>
      <c r="K8" s="82"/>
      <c r="L8" s="82"/>
      <c r="M8" s="88"/>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83" t="s">
        <v>5</v>
      </c>
      <c r="J10" s="83"/>
      <c r="K10" s="83"/>
      <c r="L10" s="83"/>
      <c r="M10" s="83"/>
    </row>
    <row r="11" spans="1:13" s="1" customFormat="1" ht="12.75">
      <c r="A11" s="3"/>
      <c r="B11" s="5"/>
      <c r="C11" s="5"/>
      <c r="D11" s="5"/>
      <c r="E11" s="5"/>
      <c r="F11" s="6"/>
      <c r="G11" s="5"/>
      <c r="H11" s="5"/>
      <c r="I11" s="5"/>
      <c r="J11" s="5"/>
      <c r="K11" s="5"/>
      <c r="L11" s="10"/>
      <c r="M11" s="5"/>
    </row>
    <row r="12" spans="1:13" s="12" customFormat="1" ht="12">
      <c r="A12" s="9"/>
      <c r="B12" s="10" t="s">
        <v>6</v>
      </c>
      <c r="C12" s="10" t="s">
        <v>65</v>
      </c>
      <c r="D12" s="10" t="s">
        <v>6</v>
      </c>
      <c r="E12" s="10"/>
      <c r="F12" s="11" t="s">
        <v>7</v>
      </c>
      <c r="G12" s="10" t="s">
        <v>8</v>
      </c>
      <c r="H12" s="10"/>
      <c r="I12" s="10" t="s">
        <v>9</v>
      </c>
      <c r="J12" s="10" t="s">
        <v>73</v>
      </c>
      <c r="K12" s="10" t="s">
        <v>10</v>
      </c>
      <c r="L12" s="10" t="s">
        <v>74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75</v>
      </c>
      <c r="M13" s="8" t="s">
        <v>46</v>
      </c>
    </row>
    <row r="15" spans="1:13" ht="12.75">
      <c r="A15" s="3">
        <v>43191</v>
      </c>
      <c r="B15" s="16">
        <v>35106201.34</v>
      </c>
      <c r="C15" s="16">
        <f>452866.83-21855</f>
        <v>431011.83</v>
      </c>
      <c r="D15" s="63">
        <f aca="true" t="shared" si="0" ref="D15:D26">IF(ISBLANK(B15),"",B15-C15-E15)</f>
        <v>32220269.000000007</v>
      </c>
      <c r="E15" s="16">
        <v>2454920.51</v>
      </c>
      <c r="F15" s="17">
        <f>23010/30</f>
        <v>767</v>
      </c>
      <c r="G15" s="16">
        <f>IF(ISBLANK(B15),"",E15/F15/30)</f>
        <v>106.68928770099956</v>
      </c>
      <c r="I15" s="16">
        <v>859222.21</v>
      </c>
      <c r="J15" s="16">
        <v>1006517.43</v>
      </c>
      <c r="K15" s="16">
        <v>245492.07</v>
      </c>
      <c r="L15" s="16">
        <v>245492.07</v>
      </c>
      <c r="M15" s="16">
        <v>98196.79</v>
      </c>
    </row>
    <row r="16" spans="1:13" ht="12.75">
      <c r="A16" s="3">
        <v>43221</v>
      </c>
      <c r="B16" s="16">
        <v>36440724.1</v>
      </c>
      <c r="C16" s="16">
        <f>493299.03-485645.5</f>
        <v>7653.530000000028</v>
      </c>
      <c r="D16" s="63">
        <f t="shared" si="0"/>
        <v>33395240.12</v>
      </c>
      <c r="E16" s="16">
        <v>3037830.45</v>
      </c>
      <c r="F16" s="17">
        <f>23777/31</f>
        <v>767</v>
      </c>
      <c r="G16" s="16">
        <f>IF(ISBLANK(B16),"",E16/F16/31)</f>
        <v>127.76340370946714</v>
      </c>
      <c r="I16" s="16">
        <v>1063240.66</v>
      </c>
      <c r="J16" s="16">
        <v>1245510.51</v>
      </c>
      <c r="K16" s="16">
        <v>303783.06</v>
      </c>
      <c r="L16" s="16">
        <v>303783.08</v>
      </c>
      <c r="M16" s="16">
        <v>121513.21</v>
      </c>
    </row>
    <row r="17" spans="1:13" ht="12.75">
      <c r="A17" s="3">
        <v>43252</v>
      </c>
      <c r="B17" s="16">
        <v>36243332.25</v>
      </c>
      <c r="C17" s="16">
        <v>543012.35</v>
      </c>
      <c r="D17" s="63">
        <f t="shared" si="0"/>
        <v>33144028.849999998</v>
      </c>
      <c r="E17" s="16">
        <v>2556291.05</v>
      </c>
      <c r="F17" s="17">
        <f>23010/30</f>
        <v>767</v>
      </c>
      <c r="G17" s="16">
        <f aca="true" t="shared" si="1" ref="G17:G22">IF(ISBLANK(B17),"",E17/F17/30)</f>
        <v>111.09478704910907</v>
      </c>
      <c r="I17" s="16">
        <v>894701.88</v>
      </c>
      <c r="J17" s="16">
        <v>1048079.34</v>
      </c>
      <c r="K17" s="16">
        <v>255629.12</v>
      </c>
      <c r="L17" s="16">
        <v>255629.12</v>
      </c>
      <c r="M17" s="16">
        <v>102251.64</v>
      </c>
    </row>
    <row r="18" spans="1:13" ht="12.75">
      <c r="A18" s="3">
        <v>43282</v>
      </c>
      <c r="B18" s="16">
        <v>38546535.39</v>
      </c>
      <c r="C18" s="16">
        <f>611629.44-46040</f>
        <v>565589.44</v>
      </c>
      <c r="D18" s="63">
        <f t="shared" si="0"/>
        <v>35432061.7</v>
      </c>
      <c r="E18" s="16">
        <v>2548884.25</v>
      </c>
      <c r="F18" s="17">
        <f>18596/31</f>
        <v>599.8709677419355</v>
      </c>
      <c r="G18" s="16">
        <f>IF(ISBLANK(B18),"",E18/F18/31)</f>
        <v>137.06626425037643</v>
      </c>
      <c r="I18" s="16">
        <v>892109.53</v>
      </c>
      <c r="J18" s="16">
        <v>1045042.52</v>
      </c>
      <c r="K18" s="16">
        <v>254888.42</v>
      </c>
      <c r="L18" s="16">
        <v>254888.42</v>
      </c>
      <c r="M18" s="16">
        <v>101955.38</v>
      </c>
    </row>
    <row r="19" spans="1:13" ht="12.75">
      <c r="A19" s="3">
        <v>43313</v>
      </c>
      <c r="B19" s="16">
        <v>39482465.18</v>
      </c>
      <c r="C19" s="16">
        <v>586721.7</v>
      </c>
      <c r="D19" s="63">
        <f t="shared" si="0"/>
        <v>36265431.81999999</v>
      </c>
      <c r="E19" s="16">
        <v>2630311.66</v>
      </c>
      <c r="F19" s="17">
        <f>15602/31</f>
        <v>503.2903225806452</v>
      </c>
      <c r="G19" s="16">
        <f>IF(ISBLANK(B19),"",E19/F19/31)</f>
        <v>168.58810793488016</v>
      </c>
      <c r="I19" s="16">
        <v>920609.11</v>
      </c>
      <c r="J19" s="16">
        <v>1078427.77</v>
      </c>
      <c r="K19" s="16">
        <v>263031.16</v>
      </c>
      <c r="L19" s="16">
        <v>263031.17</v>
      </c>
      <c r="M19" s="16">
        <v>105212.49</v>
      </c>
    </row>
    <row r="20" spans="1:13" ht="12.75">
      <c r="A20" s="3">
        <v>43344</v>
      </c>
      <c r="B20" s="16">
        <v>34996269.31</v>
      </c>
      <c r="C20" s="16">
        <f>503527.62-24420</f>
        <v>479107.62</v>
      </c>
      <c r="D20" s="63">
        <f t="shared" si="0"/>
        <v>32041813.850000005</v>
      </c>
      <c r="E20" s="16">
        <v>2475347.84</v>
      </c>
      <c r="F20" s="17">
        <f>15360/30</f>
        <v>512</v>
      </c>
      <c r="G20" s="16">
        <f t="shared" si="1"/>
        <v>161.1554583333333</v>
      </c>
      <c r="I20" s="16">
        <v>866371.75</v>
      </c>
      <c r="J20" s="16">
        <v>1014892.59</v>
      </c>
      <c r="K20" s="16">
        <v>247534.81</v>
      </c>
      <c r="L20" s="16">
        <v>247534.82</v>
      </c>
      <c r="M20" s="16">
        <v>99013.91</v>
      </c>
    </row>
    <row r="21" spans="1:13" ht="12.75">
      <c r="A21" s="3">
        <v>43374</v>
      </c>
      <c r="B21" s="16">
        <v>33010091.19</v>
      </c>
      <c r="C21" s="16">
        <f>435695.54-27326</f>
        <v>408369.54</v>
      </c>
      <c r="D21" s="63">
        <f t="shared" si="0"/>
        <v>30337820.92</v>
      </c>
      <c r="E21" s="16">
        <v>2263900.73</v>
      </c>
      <c r="F21" s="17">
        <f>15872/31</f>
        <v>512</v>
      </c>
      <c r="G21" s="16">
        <f>IF(ISBLANK(B21),"",E21/F21/31)</f>
        <v>142.6348746219758</v>
      </c>
      <c r="I21" s="16">
        <v>792365.23</v>
      </c>
      <c r="J21" s="16">
        <v>928199.29</v>
      </c>
      <c r="K21" s="16">
        <v>226390.07</v>
      </c>
      <c r="L21" s="16">
        <v>226390.08</v>
      </c>
      <c r="M21" s="16">
        <v>90556.04</v>
      </c>
    </row>
    <row r="22" spans="1:13" ht="12.75">
      <c r="A22" s="3">
        <v>43405</v>
      </c>
      <c r="B22" s="16">
        <v>29650086.79</v>
      </c>
      <c r="C22" s="16">
        <f>414060.27-19156</f>
        <v>394904.27</v>
      </c>
      <c r="D22" s="63">
        <f t="shared" si="0"/>
        <v>27258373.11</v>
      </c>
      <c r="E22" s="16">
        <v>1996809.41</v>
      </c>
      <c r="F22" s="17">
        <f>15360/30</f>
        <v>512</v>
      </c>
      <c r="G22" s="16">
        <f t="shared" si="1"/>
        <v>130.00061263020834</v>
      </c>
      <c r="I22" s="16">
        <v>698883.29</v>
      </c>
      <c r="J22" s="16">
        <v>818691.84</v>
      </c>
      <c r="K22" s="16">
        <v>199680.94</v>
      </c>
      <c r="L22" s="16">
        <v>199680.96</v>
      </c>
      <c r="M22" s="16">
        <v>79872.38</v>
      </c>
    </row>
    <row r="23" spans="1:13" ht="12.75">
      <c r="A23" s="3">
        <v>43435</v>
      </c>
      <c r="B23" s="16">
        <v>30865058.46</v>
      </c>
      <c r="C23" s="16">
        <f>415396.35-17455</f>
        <v>397941.35</v>
      </c>
      <c r="D23" s="63">
        <f t="shared" si="0"/>
        <v>28290660.63</v>
      </c>
      <c r="E23" s="16">
        <v>2176456.48</v>
      </c>
      <c r="F23" s="17">
        <v>512</v>
      </c>
      <c r="G23" s="16">
        <f>IF(ISBLANK(B23),"",E23/F23/31)</f>
        <v>137.12553427419354</v>
      </c>
      <c r="I23" s="16">
        <v>761759.74</v>
      </c>
      <c r="J23" s="16">
        <v>892347.15</v>
      </c>
      <c r="K23" s="16">
        <v>217645.65</v>
      </c>
      <c r="L23" s="16">
        <v>217645.66</v>
      </c>
      <c r="M23" s="16">
        <v>87058.26</v>
      </c>
    </row>
    <row r="24" spans="1:13" ht="12.75">
      <c r="A24" s="3">
        <v>43466</v>
      </c>
      <c r="B24" s="16">
        <v>25120444.05</v>
      </c>
      <c r="C24" s="16">
        <f>341852.61-14250</f>
        <v>327602.61</v>
      </c>
      <c r="D24" s="63">
        <f t="shared" si="0"/>
        <v>23073266.62</v>
      </c>
      <c r="E24" s="16">
        <v>1719574.82</v>
      </c>
      <c r="F24" s="17">
        <f>15872/31</f>
        <v>512</v>
      </c>
      <c r="G24" s="16">
        <f>IF(ISBLANK(B24),"",E24/F24/31)</f>
        <v>108.34014742943549</v>
      </c>
      <c r="I24" s="16">
        <v>601851.18</v>
      </c>
      <c r="J24" s="16">
        <v>705025.68</v>
      </c>
      <c r="K24" s="16">
        <v>171957.48</v>
      </c>
      <c r="L24" s="16">
        <v>171957.48</v>
      </c>
      <c r="M24" s="16">
        <v>68783.01</v>
      </c>
    </row>
    <row r="25" spans="1:13" ht="12.75">
      <c r="A25" s="3">
        <v>43497</v>
      </c>
      <c r="B25" s="16">
        <v>28764611.8</v>
      </c>
      <c r="C25" s="16">
        <f>389674.5-14990</f>
        <v>374684.5</v>
      </c>
      <c r="D25" s="63">
        <f t="shared" si="0"/>
        <v>26290053.59</v>
      </c>
      <c r="E25" s="16">
        <v>2099873.71</v>
      </c>
      <c r="F25" s="17">
        <f>14336/28</f>
        <v>512</v>
      </c>
      <c r="G25" s="16">
        <f>IF(ISBLANK(B25),"",E25/F25/28)</f>
        <v>146.47556570870535</v>
      </c>
      <c r="I25" s="16">
        <v>734955.79</v>
      </c>
      <c r="J25" s="16">
        <v>860948.21</v>
      </c>
      <c r="K25" s="16">
        <v>209987.39</v>
      </c>
      <c r="L25" s="16">
        <v>209987.4</v>
      </c>
      <c r="M25" s="16">
        <v>83994.95</v>
      </c>
    </row>
    <row r="26" spans="1:13" ht="12.75">
      <c r="A26" s="3">
        <v>43525</v>
      </c>
      <c r="B26" s="16">
        <v>37177483.34</v>
      </c>
      <c r="C26" s="16">
        <f>453324.88-13800</f>
        <v>439524.88</v>
      </c>
      <c r="D26" s="63">
        <f t="shared" si="0"/>
        <v>34150574.46</v>
      </c>
      <c r="E26" s="16">
        <v>2587384</v>
      </c>
      <c r="F26" s="17">
        <f>15872/31</f>
        <v>512</v>
      </c>
      <c r="G26" s="16">
        <f>IF(ISBLANK(B26),"",E26/F26/31)</f>
        <v>163.015625</v>
      </c>
      <c r="I26" s="16">
        <v>905584.41</v>
      </c>
      <c r="J26" s="16">
        <v>1060827.43</v>
      </c>
      <c r="K26" s="16">
        <v>258738.41</v>
      </c>
      <c r="L26" s="16">
        <v>258738.41</v>
      </c>
      <c r="M26" s="16">
        <v>103495.36</v>
      </c>
    </row>
    <row r="27" spans="1:13" ht="13.5" thickBot="1">
      <c r="A27" s="60" t="s">
        <v>20</v>
      </c>
      <c r="B27" s="61">
        <f>SUM(B15:B26)</f>
        <v>405403303.20000005</v>
      </c>
      <c r="C27" s="61">
        <f>SUM(C15:C26)</f>
        <v>4956123.62</v>
      </c>
      <c r="D27" s="61">
        <f>SUM(D15:D26)</f>
        <v>371899594.66999996</v>
      </c>
      <c r="E27" s="61">
        <f>SUM(E15:E26)</f>
        <v>28547584.91</v>
      </c>
      <c r="F27" s="62">
        <f>AVERAGE(F15:F26)</f>
        <v>582.3467741935484</v>
      </c>
      <c r="G27" s="61">
        <f>AVERAGE(G15:G26)</f>
        <v>136.66247238689036</v>
      </c>
      <c r="H27" s="33"/>
      <c r="I27" s="61">
        <f>SUM(I15:I26)</f>
        <v>9991654.780000001</v>
      </c>
      <c r="J27" s="61">
        <f>SUM(J15:J26)</f>
        <v>11704509.759999998</v>
      </c>
      <c r="K27" s="61">
        <f>SUM(K15:K26)</f>
        <v>2854758.58</v>
      </c>
      <c r="L27" s="61">
        <f>SUM(L15:L26)</f>
        <v>2854758.67</v>
      </c>
      <c r="M27" s="61">
        <f>SUM(M15:M26)</f>
        <v>1141903.4200000002</v>
      </c>
    </row>
    <row r="28" spans="2:13" ht="10.5" customHeight="1" thickTop="1">
      <c r="B28" s="19"/>
      <c r="C28" s="19"/>
      <c r="D28" s="19"/>
      <c r="E28" s="19"/>
      <c r="I28" s="19"/>
      <c r="J28" s="19"/>
      <c r="K28" s="19"/>
      <c r="L28" s="19"/>
      <c r="M28" s="19"/>
    </row>
    <row r="29" spans="1:13" s="22" customFormat="1" ht="12.75">
      <c r="A29" s="20"/>
      <c r="B29" s="21"/>
      <c r="C29" s="21">
        <f>C27/B27</f>
        <v>0.012225168322210158</v>
      </c>
      <c r="D29" s="21">
        <f>D27/B27</f>
        <v>0.9173570904194841</v>
      </c>
      <c r="E29" s="21">
        <f>E27/B27</f>
        <v>0.07041774125830555</v>
      </c>
      <c r="I29" s="21">
        <f>I27/$E$27</f>
        <v>0.3500000021542979</v>
      </c>
      <c r="J29" s="21">
        <f>J27/$E$27</f>
        <v>0.40999999813994764</v>
      </c>
      <c r="K29" s="21">
        <f>K27/$E$27</f>
        <v>0.10000000311760172</v>
      </c>
      <c r="L29" s="21">
        <f>L27/$E$27</f>
        <v>0.10000000627023269</v>
      </c>
      <c r="M29" s="21">
        <f>M27/$E$27</f>
        <v>0.0400000008266899</v>
      </c>
    </row>
    <row r="31" spans="1:13" s="23" customFormat="1" ht="12.75">
      <c r="A31" s="81" t="s">
        <v>21</v>
      </c>
      <c r="B31" s="82"/>
      <c r="C31" s="82"/>
      <c r="D31" s="82"/>
      <c r="E31" s="82"/>
      <c r="F31" s="82"/>
      <c r="G31" s="82"/>
      <c r="H31" s="82"/>
      <c r="I31" s="82"/>
      <c r="J31" s="82"/>
      <c r="K31" s="82"/>
      <c r="L31" s="82"/>
      <c r="M31" s="88"/>
    </row>
    <row r="32" ht="12.75">
      <c r="A32" s="24"/>
    </row>
    <row r="33" spans="1:12" s="45" customFormat="1" ht="12.75" customHeight="1">
      <c r="A33" s="41" t="s">
        <v>22</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79</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23</v>
      </c>
      <c r="B38" s="42"/>
      <c r="C38" s="43" t="s">
        <v>94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25</v>
      </c>
      <c r="B40" s="42"/>
      <c r="C40" s="42" t="s">
        <v>55</v>
      </c>
      <c r="E40" s="46"/>
      <c r="F40" s="47"/>
      <c r="G40" s="42"/>
      <c r="H40" s="42"/>
      <c r="I40" s="42"/>
      <c r="J40" s="42"/>
      <c r="K40" s="42"/>
      <c r="L40" s="42"/>
      <c r="M40" s="42"/>
    </row>
    <row r="41" spans="1:13" s="45" customFormat="1" ht="12.75">
      <c r="A41" s="41"/>
      <c r="B41" s="42"/>
      <c r="C41" s="42" t="s">
        <v>56</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28</v>
      </c>
      <c r="B43" s="42"/>
      <c r="C43" s="42" t="s">
        <v>29</v>
      </c>
      <c r="E43" s="46"/>
      <c r="F43" s="47"/>
      <c r="G43" s="42"/>
      <c r="H43" s="42"/>
      <c r="I43" s="42"/>
      <c r="J43" s="42"/>
      <c r="K43" s="42"/>
      <c r="L43" s="42"/>
      <c r="M43" s="42"/>
    </row>
    <row r="44" spans="1:13" s="45" customFormat="1" ht="6" customHeight="1">
      <c r="A44" s="41"/>
      <c r="B44" s="42"/>
      <c r="C44" s="42"/>
      <c r="D44" s="42"/>
      <c r="E44" s="46"/>
      <c r="F44" s="47"/>
      <c r="G44" s="42"/>
      <c r="H44" s="42"/>
      <c r="I44" s="42"/>
      <c r="J44" s="42"/>
      <c r="K44" s="42"/>
      <c r="L44" s="42"/>
      <c r="M44" s="42"/>
    </row>
    <row r="45" spans="1:12" s="45" customFormat="1" ht="12.75">
      <c r="A45" s="41" t="s">
        <v>68</v>
      </c>
      <c r="B45" s="42"/>
      <c r="C45" s="42" t="s">
        <v>69</v>
      </c>
      <c r="D45" s="46"/>
      <c r="E45" s="47"/>
      <c r="F45" s="42"/>
      <c r="G45" s="42"/>
      <c r="H45" s="42"/>
      <c r="I45" s="42"/>
      <c r="J45" s="42"/>
      <c r="K45" s="42"/>
      <c r="L45" s="42"/>
    </row>
    <row r="46" spans="1:12" s="45" customFormat="1" ht="12.75">
      <c r="A46" s="41"/>
      <c r="B46" s="42"/>
      <c r="C46" s="42" t="s">
        <v>76</v>
      </c>
      <c r="D46" s="46"/>
      <c r="E46" s="47"/>
      <c r="F46" s="42"/>
      <c r="G46" s="42"/>
      <c r="H46" s="42"/>
      <c r="I46" s="42"/>
      <c r="J46" s="42"/>
      <c r="K46" s="42"/>
      <c r="L46" s="42"/>
    </row>
    <row r="47" spans="1:12" s="45" customFormat="1" ht="12.75">
      <c r="A47" s="41"/>
      <c r="B47" s="42"/>
      <c r="C47" s="42" t="s">
        <v>77</v>
      </c>
      <c r="D47" s="46"/>
      <c r="E47" s="47"/>
      <c r="F47" s="42"/>
      <c r="G47" s="42"/>
      <c r="H47" s="42"/>
      <c r="I47" s="42"/>
      <c r="J47" s="42"/>
      <c r="K47" s="42"/>
      <c r="L47" s="42"/>
    </row>
    <row r="48" spans="1:13" s="45" customFormat="1" ht="6" customHeight="1">
      <c r="A48" s="41"/>
      <c r="B48" s="42"/>
      <c r="C48" s="42"/>
      <c r="D48" s="42"/>
      <c r="E48" s="46"/>
      <c r="F48" s="47"/>
      <c r="G48" s="42"/>
      <c r="H48" s="42"/>
      <c r="I48" s="42"/>
      <c r="J48" s="42"/>
      <c r="K48" s="42"/>
      <c r="L48" s="42"/>
      <c r="M48" s="42"/>
    </row>
    <row r="49" spans="1:12" s="45" customFormat="1" ht="12.75">
      <c r="A49" s="41" t="s">
        <v>30</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3" s="45" customFormat="1" ht="6" customHeight="1">
      <c r="A51" s="41"/>
      <c r="B51" s="42"/>
      <c r="C51" s="42"/>
      <c r="D51" s="42"/>
      <c r="E51" s="46"/>
      <c r="F51" s="47"/>
      <c r="G51" s="42"/>
      <c r="H51" s="42"/>
      <c r="I51" s="42"/>
      <c r="J51" s="42"/>
      <c r="K51" s="42"/>
      <c r="L51" s="42"/>
      <c r="M51" s="42"/>
    </row>
    <row r="52" spans="1:12" s="45" customFormat="1" ht="12.75">
      <c r="A52" s="41" t="s">
        <v>78</v>
      </c>
      <c r="B52" s="42"/>
      <c r="C52" s="42" t="s">
        <v>71</v>
      </c>
      <c r="D52" s="46"/>
      <c r="E52" s="47"/>
      <c r="F52" s="42"/>
      <c r="G52" s="42"/>
      <c r="H52" s="42"/>
      <c r="I52" s="42"/>
      <c r="J52" s="42"/>
      <c r="K52" s="42"/>
      <c r="L52" s="42"/>
    </row>
    <row r="53" spans="1:12" s="45" customFormat="1" ht="12.75">
      <c r="A53" s="48"/>
      <c r="B53" s="42"/>
      <c r="C53" s="42" t="s">
        <v>72</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47</v>
      </c>
      <c r="B55" s="42"/>
      <c r="C55" s="42" t="s">
        <v>57</v>
      </c>
      <c r="E55" s="46"/>
      <c r="F55" s="47"/>
      <c r="G55" s="42"/>
      <c r="H55" s="42"/>
      <c r="I55" s="42"/>
      <c r="J55" s="42"/>
      <c r="K55" s="42"/>
      <c r="L55" s="42"/>
      <c r="M55" s="46"/>
    </row>
    <row r="56" spans="1:13" s="45" customFormat="1" ht="12.75">
      <c r="A56" s="48"/>
      <c r="B56" s="42"/>
      <c r="C56" s="42" t="s">
        <v>58</v>
      </c>
      <c r="E56" s="46"/>
      <c r="F56" s="47"/>
      <c r="G56" s="42"/>
      <c r="H56" s="42"/>
      <c r="I56" s="42"/>
      <c r="J56" s="42"/>
      <c r="K56" s="42"/>
      <c r="L56" s="42"/>
      <c r="M56" s="46"/>
    </row>
    <row r="57" spans="1:13" s="45" customFormat="1" ht="12.75">
      <c r="A57" s="48"/>
      <c r="B57" s="42"/>
      <c r="C57" s="42" t="s">
        <v>112</v>
      </c>
      <c r="E57" s="46"/>
      <c r="F57" s="47"/>
      <c r="G57" s="42"/>
      <c r="H57" s="42"/>
      <c r="I57" s="42"/>
      <c r="J57" s="42"/>
      <c r="K57" s="42"/>
      <c r="L57" s="42"/>
      <c r="M57" s="46"/>
    </row>
    <row r="58" spans="1:13" s="45" customFormat="1" ht="12.75">
      <c r="A58" s="48"/>
      <c r="B58" s="42"/>
      <c r="C58" s="42" t="s">
        <v>111</v>
      </c>
      <c r="E58" s="46"/>
      <c r="F58" s="47"/>
      <c r="G58" s="42"/>
      <c r="H58" s="42"/>
      <c r="I58" s="42"/>
      <c r="J58" s="42"/>
      <c r="K58" s="42"/>
      <c r="L58" s="42"/>
      <c r="M58" s="46"/>
    </row>
    <row r="59" spans="1:13" s="45" customFormat="1" ht="12.75">
      <c r="A59" s="41"/>
      <c r="B59" s="42"/>
      <c r="C59" s="42"/>
      <c r="E59" s="46"/>
      <c r="F59" s="47"/>
      <c r="G59" s="42"/>
      <c r="H59" s="42"/>
      <c r="I59" s="42"/>
      <c r="J59" s="42"/>
      <c r="K59" s="42"/>
      <c r="L59" s="42"/>
      <c r="M59" s="46"/>
    </row>
    <row r="60" spans="1:13" s="45" customFormat="1" ht="12.75">
      <c r="A60" s="41" t="s">
        <v>103</v>
      </c>
      <c r="B60" s="42"/>
      <c r="C60" s="23" t="s">
        <v>104</v>
      </c>
      <c r="E60" s="46"/>
      <c r="F60" s="47"/>
      <c r="G60" s="42"/>
      <c r="H60" s="42"/>
      <c r="I60" s="42"/>
      <c r="J60" s="42"/>
      <c r="K60" s="42"/>
      <c r="L60" s="42"/>
      <c r="M60" s="46"/>
    </row>
    <row r="61" spans="1:13" s="45" customFormat="1" ht="12.75">
      <c r="A61" s="48"/>
      <c r="B61" s="42"/>
      <c r="C61" s="16" t="s">
        <v>105</v>
      </c>
      <c r="E61" s="46"/>
      <c r="F61" s="47"/>
      <c r="G61" s="42"/>
      <c r="H61" s="42"/>
      <c r="I61" s="42"/>
      <c r="J61" s="42"/>
      <c r="K61" s="42"/>
      <c r="L61" s="42"/>
      <c r="M61" s="46"/>
    </row>
    <row r="62" spans="1:12" ht="12.75">
      <c r="A62" s="28"/>
      <c r="B62" s="26"/>
      <c r="C62" s="26"/>
      <c r="D62" s="26"/>
      <c r="F62" s="27"/>
      <c r="G62" s="26"/>
      <c r="H62" s="26"/>
      <c r="I62" s="26"/>
      <c r="J62" s="26"/>
      <c r="K62" s="26"/>
      <c r="L62" s="26"/>
    </row>
    <row r="63" spans="1:13" ht="12.75">
      <c r="A63" s="81" t="s">
        <v>31</v>
      </c>
      <c r="B63" s="82"/>
      <c r="C63" s="82"/>
      <c r="D63" s="82"/>
      <c r="E63" s="82"/>
      <c r="F63" s="82"/>
      <c r="G63" s="82"/>
      <c r="H63" s="82"/>
      <c r="I63" s="82"/>
      <c r="J63" s="82"/>
      <c r="K63" s="82"/>
      <c r="L63" s="82"/>
      <c r="M63" s="88"/>
    </row>
    <row r="64" ht="12.75">
      <c r="A64" s="24"/>
    </row>
    <row r="65" spans="1:13" ht="13.5">
      <c r="A65" s="32"/>
      <c r="E65" s="10" t="s">
        <v>9</v>
      </c>
      <c r="F65" s="83" t="s">
        <v>83</v>
      </c>
      <c r="G65" s="83"/>
      <c r="H65" s="83"/>
      <c r="I65" s="83"/>
      <c r="J65" s="10" t="s">
        <v>10</v>
      </c>
      <c r="K65" s="53" t="s">
        <v>74</v>
      </c>
      <c r="L65" s="10" t="s">
        <v>45</v>
      </c>
      <c r="M65" s="34"/>
    </row>
    <row r="66" spans="1:13" ht="12.75">
      <c r="A66" s="35"/>
      <c r="E66" s="8" t="s">
        <v>17</v>
      </c>
      <c r="F66" s="8" t="s">
        <v>80</v>
      </c>
      <c r="G66" s="57" t="s">
        <v>81</v>
      </c>
      <c r="H66" s="36"/>
      <c r="I66" s="8" t="s">
        <v>82</v>
      </c>
      <c r="J66" s="8" t="s">
        <v>19</v>
      </c>
      <c r="K66" s="54" t="s">
        <v>75</v>
      </c>
      <c r="L66" s="8" t="s">
        <v>46</v>
      </c>
      <c r="M66" s="34"/>
    </row>
    <row r="67" spans="2:13" ht="12.75">
      <c r="B67" s="37" t="s">
        <v>50</v>
      </c>
      <c r="C67" s="37"/>
      <c r="D67" s="37"/>
      <c r="E67" s="55">
        <v>0.35</v>
      </c>
      <c r="F67" s="55">
        <v>0.31</v>
      </c>
      <c r="G67" s="58">
        <v>0.0875</v>
      </c>
      <c r="H67" s="56"/>
      <c r="I67" s="55">
        <v>0.0125</v>
      </c>
      <c r="J67" s="55">
        <v>0.1</v>
      </c>
      <c r="K67" s="55">
        <v>0.1</v>
      </c>
      <c r="L67" s="55">
        <v>0.04</v>
      </c>
      <c r="M67" s="39"/>
    </row>
    <row r="68" spans="2:13" ht="12.75">
      <c r="B68" s="37" t="s">
        <v>51</v>
      </c>
      <c r="C68" s="37"/>
      <c r="D68" s="37"/>
      <c r="E68" s="55">
        <v>0.39</v>
      </c>
      <c r="F68" s="55">
        <v>0.31</v>
      </c>
      <c r="G68" s="58">
        <v>0.0875</v>
      </c>
      <c r="H68" s="56"/>
      <c r="I68" s="55">
        <v>0.0125</v>
      </c>
      <c r="J68" s="55">
        <v>0.1</v>
      </c>
      <c r="K68" s="55">
        <v>0.1</v>
      </c>
      <c r="L68" s="55">
        <v>0</v>
      </c>
      <c r="M68" s="39"/>
    </row>
    <row r="69" spans="1:13" s="23" customFormat="1" ht="12.75">
      <c r="A69" s="3"/>
      <c r="B69" s="37" t="s">
        <v>48</v>
      </c>
      <c r="C69" s="37"/>
      <c r="D69" s="37"/>
      <c r="E69" s="55">
        <v>0.41</v>
      </c>
      <c r="F69" s="55">
        <v>0.31</v>
      </c>
      <c r="G69" s="58">
        <v>0.0875</v>
      </c>
      <c r="H69" s="56"/>
      <c r="I69" s="55">
        <v>0.0125</v>
      </c>
      <c r="J69" s="55">
        <v>0.08</v>
      </c>
      <c r="K69" s="55">
        <v>0.1</v>
      </c>
      <c r="L69" s="55">
        <v>0</v>
      </c>
      <c r="M69" s="39"/>
    </row>
    <row r="70" spans="1:13" s="23" customFormat="1" ht="12.75">
      <c r="A70" s="3"/>
      <c r="B70" s="37"/>
      <c r="C70" s="37"/>
      <c r="D70" s="37"/>
      <c r="E70" s="26"/>
      <c r="F70" s="27"/>
      <c r="G70" s="38"/>
      <c r="H70" s="26"/>
      <c r="I70" s="38"/>
      <c r="J70" s="38"/>
      <c r="K70" s="38"/>
      <c r="L70" s="38"/>
      <c r="M70" s="39"/>
    </row>
    <row r="71" spans="1:13" ht="12.75">
      <c r="A71" s="84" t="s">
        <v>39</v>
      </c>
      <c r="B71" s="85"/>
      <c r="C71" s="85"/>
      <c r="D71" s="85"/>
      <c r="E71" s="85"/>
      <c r="F71" s="85"/>
      <c r="G71" s="85"/>
      <c r="H71" s="85"/>
      <c r="I71" s="85"/>
      <c r="J71" s="85"/>
      <c r="K71" s="85"/>
      <c r="L71" s="85"/>
      <c r="M71" s="89"/>
    </row>
    <row r="72" spans="1:6" ht="9.75" customHeight="1">
      <c r="A72" s="24"/>
      <c r="E72"/>
      <c r="F72" s="16"/>
    </row>
    <row r="73" spans="1:13" ht="54" customHeight="1">
      <c r="A73" s="86" t="s">
        <v>109</v>
      </c>
      <c r="B73" s="87"/>
      <c r="C73" s="87"/>
      <c r="D73" s="87"/>
      <c r="E73" s="87"/>
      <c r="F73" s="87"/>
      <c r="G73" s="87"/>
      <c r="H73" s="87"/>
      <c r="I73" s="87"/>
      <c r="J73" s="87"/>
      <c r="K73" s="87"/>
      <c r="L73" s="87"/>
      <c r="M73" s="87"/>
    </row>
    <row r="74" spans="1:6" ht="12.75">
      <c r="A74" s="16"/>
      <c r="E74"/>
      <c r="F74" s="16"/>
    </row>
    <row r="75" spans="2:5" ht="12.75">
      <c r="B75" s="24" t="s">
        <v>40</v>
      </c>
      <c r="C75" s="24"/>
      <c r="D75" s="24"/>
      <c r="E75" s="16">
        <v>137103</v>
      </c>
    </row>
    <row r="76" spans="2:5" ht="12.75">
      <c r="B76" s="24" t="s">
        <v>41</v>
      </c>
      <c r="C76" s="24"/>
      <c r="D76" s="24"/>
      <c r="E76" s="16">
        <v>231788</v>
      </c>
    </row>
    <row r="77" spans="2:5" ht="12.75">
      <c r="B77" s="16" t="s">
        <v>42</v>
      </c>
      <c r="E77" s="16">
        <v>256796</v>
      </c>
    </row>
    <row r="78" ht="7.5" customHeight="1">
      <c r="E78" s="16" t="s">
        <v>36</v>
      </c>
    </row>
    <row r="80" ht="12.75">
      <c r="A80" s="28" t="s">
        <v>91</v>
      </c>
    </row>
  </sheetData>
  <sheetProtection/>
  <mergeCells count="12">
    <mergeCell ref="I10:M10"/>
    <mergeCell ref="A31:M31"/>
    <mergeCell ref="A63:M63"/>
    <mergeCell ref="F65:I65"/>
    <mergeCell ref="A71:M71"/>
    <mergeCell ref="A73:M73"/>
    <mergeCell ref="A1:M1"/>
    <mergeCell ref="A2:M2"/>
    <mergeCell ref="A3:M3"/>
    <mergeCell ref="A4:M4"/>
    <mergeCell ref="A5:M5"/>
    <mergeCell ref="A8:M8"/>
  </mergeCells>
  <hyperlinks>
    <hyperlink ref="A4" r:id="rId1" display="www.vernondowns.com"/>
  </hyperlinks>
  <printOptions horizontalCentered="1"/>
  <pageMargins left="0.25" right="0.25" top="0.75" bottom="0.5" header="0.5" footer="0.5"/>
  <pageSetup fitToHeight="1" fitToWidth="1" horizontalDpi="600" verticalDpi="600" orientation="portrait" scale="69" r:id="rId3"/>
  <ignoredErrors>
    <ignoredError sqref="G16:G25" formula="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A1:M81"/>
  <sheetViews>
    <sheetView zoomScalePageLayoutView="0" workbookViewId="0" topLeftCell="A16">
      <selection activeCell="G27" sqref="G27"/>
    </sheetView>
  </sheetViews>
  <sheetFormatPr defaultColWidth="9.140625" defaultRowHeight="12.75"/>
  <cols>
    <col min="1" max="1" width="10.57421875" style="3" customWidth="1"/>
    <col min="2" max="2" width="15.7109375" style="16" customWidth="1"/>
    <col min="3" max="3" width="13.57421875" style="16" customWidth="1"/>
    <col min="4" max="4" width="14.140625" style="16" customWidth="1"/>
    <col min="5" max="5" width="12.7109375" style="16" customWidth="1"/>
    <col min="6" max="6" width="8.57421875" style="17" customWidth="1"/>
    <col min="7" max="7" width="9.57421875" style="16" customWidth="1"/>
    <col min="8" max="8" width="1.421875" style="16" customWidth="1"/>
    <col min="9" max="9" width="13.00390625" style="16" customWidth="1"/>
    <col min="10" max="10" width="12.7109375" style="16" customWidth="1"/>
    <col min="11" max="12" width="12.8515625" style="16" bestFit="1" customWidth="1"/>
    <col min="13" max="13" width="11.28125" style="16" customWidth="1"/>
    <col min="14" max="14" width="12.7109375" style="0" customWidth="1"/>
  </cols>
  <sheetData>
    <row r="1" spans="1:13" ht="18">
      <c r="A1" s="77" t="s">
        <v>52</v>
      </c>
      <c r="B1" s="77"/>
      <c r="C1" s="77"/>
      <c r="D1" s="77"/>
      <c r="E1" s="77"/>
      <c r="F1" s="77"/>
      <c r="G1" s="77"/>
      <c r="H1" s="77"/>
      <c r="I1" s="77"/>
      <c r="J1" s="77"/>
      <c r="K1" s="77"/>
      <c r="L1" s="77"/>
      <c r="M1" s="77"/>
    </row>
    <row r="2" spans="1:13" ht="15">
      <c r="A2" s="78" t="s">
        <v>0</v>
      </c>
      <c r="B2" s="78"/>
      <c r="C2" s="78"/>
      <c r="D2" s="78"/>
      <c r="E2" s="78"/>
      <c r="F2" s="78"/>
      <c r="G2" s="78"/>
      <c r="H2" s="78"/>
      <c r="I2" s="78"/>
      <c r="J2" s="78"/>
      <c r="K2" s="78"/>
      <c r="L2" s="78"/>
      <c r="M2" s="78"/>
    </row>
    <row r="3" spans="1:13" s="1" customFormat="1" ht="15">
      <c r="A3" s="78" t="s">
        <v>1</v>
      </c>
      <c r="B3" s="78"/>
      <c r="C3" s="78"/>
      <c r="D3" s="78"/>
      <c r="E3" s="78"/>
      <c r="F3" s="78"/>
      <c r="G3" s="78"/>
      <c r="H3" s="78"/>
      <c r="I3" s="78"/>
      <c r="J3" s="78"/>
      <c r="K3" s="78"/>
      <c r="L3" s="78"/>
      <c r="M3" s="78"/>
    </row>
    <row r="4" spans="1:13" s="1" customFormat="1" ht="14.25" customHeight="1">
      <c r="A4" s="79" t="s">
        <v>2</v>
      </c>
      <c r="B4" s="79"/>
      <c r="C4" s="79"/>
      <c r="D4" s="79"/>
      <c r="E4" s="79"/>
      <c r="F4" s="79"/>
      <c r="G4" s="79"/>
      <c r="H4" s="79"/>
      <c r="I4" s="79"/>
      <c r="J4" s="79"/>
      <c r="K4" s="79"/>
      <c r="L4" s="79"/>
      <c r="M4" s="79"/>
    </row>
    <row r="5" spans="1:13" s="1" customFormat="1" ht="14.25">
      <c r="A5" s="80" t="s">
        <v>84</v>
      </c>
      <c r="B5" s="80"/>
      <c r="C5" s="80"/>
      <c r="D5" s="80"/>
      <c r="E5" s="80"/>
      <c r="F5" s="80"/>
      <c r="G5" s="80"/>
      <c r="H5" s="80"/>
      <c r="I5" s="80"/>
      <c r="J5" s="80"/>
      <c r="K5" s="80"/>
      <c r="L5" s="80"/>
      <c r="M5" s="80"/>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81" t="s">
        <v>101</v>
      </c>
      <c r="B8" s="82"/>
      <c r="C8" s="82"/>
      <c r="D8" s="82"/>
      <c r="E8" s="82"/>
      <c r="F8" s="82"/>
      <c r="G8" s="82"/>
      <c r="H8" s="82"/>
      <c r="I8" s="82"/>
      <c r="J8" s="82"/>
      <c r="K8" s="82"/>
      <c r="L8" s="82"/>
      <c r="M8" s="88"/>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83" t="s">
        <v>5</v>
      </c>
      <c r="J10" s="83"/>
      <c r="K10" s="83"/>
      <c r="L10" s="83"/>
      <c r="M10" s="83"/>
    </row>
    <row r="11" spans="1:13" s="1" customFormat="1" ht="12.75">
      <c r="A11" s="3"/>
      <c r="B11" s="5"/>
      <c r="C11" s="5"/>
      <c r="D11" s="5"/>
      <c r="E11" s="5"/>
      <c r="F11" s="6"/>
      <c r="G11" s="5"/>
      <c r="H11" s="5"/>
      <c r="I11" s="5"/>
      <c r="J11" s="5"/>
      <c r="K11" s="5"/>
      <c r="L11" s="10"/>
      <c r="M11" s="5"/>
    </row>
    <row r="12" spans="1:13" s="12" customFormat="1" ht="12">
      <c r="A12" s="9"/>
      <c r="B12" s="10" t="s">
        <v>6</v>
      </c>
      <c r="C12" s="10" t="s">
        <v>65</v>
      </c>
      <c r="D12" s="10" t="s">
        <v>6</v>
      </c>
      <c r="E12" s="10"/>
      <c r="F12" s="11" t="s">
        <v>7</v>
      </c>
      <c r="G12" s="10" t="s">
        <v>8</v>
      </c>
      <c r="H12" s="10"/>
      <c r="I12" s="10" t="s">
        <v>9</v>
      </c>
      <c r="J12" s="10" t="s">
        <v>73</v>
      </c>
      <c r="K12" s="10" t="s">
        <v>10</v>
      </c>
      <c r="L12" s="10" t="s">
        <v>74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75</v>
      </c>
      <c r="M13" s="8" t="s">
        <v>46</v>
      </c>
    </row>
    <row r="15" spans="1:13" ht="12.75">
      <c r="A15" s="3">
        <v>42826</v>
      </c>
      <c r="B15" s="16">
        <v>37194629.09000001</v>
      </c>
      <c r="C15" s="16">
        <v>441322.32999999996</v>
      </c>
      <c r="D15" s="16">
        <f aca="true" t="shared" si="0" ref="D15:D26">+B15-C15-E15</f>
        <v>33935557.83000001</v>
      </c>
      <c r="E15" s="16">
        <v>2817748.9300000006</v>
      </c>
      <c r="F15" s="17">
        <v>767</v>
      </c>
      <c r="G15" s="16">
        <v>122</v>
      </c>
      <c r="I15" s="16">
        <v>986212.1399999998</v>
      </c>
      <c r="J15" s="16">
        <v>1155277.09</v>
      </c>
      <c r="K15" s="16">
        <v>281774.89</v>
      </c>
      <c r="L15" s="16">
        <v>281774.89</v>
      </c>
      <c r="M15" s="16">
        <v>112709.93</v>
      </c>
    </row>
    <row r="16" spans="1:13" ht="12.75">
      <c r="A16" s="3">
        <v>42856</v>
      </c>
      <c r="B16" s="16">
        <v>38231061.650000006</v>
      </c>
      <c r="C16" s="16">
        <v>217753.05000000005</v>
      </c>
      <c r="D16" s="16">
        <f t="shared" si="0"/>
        <v>35026397.11000001</v>
      </c>
      <c r="E16" s="16">
        <v>2986911.49</v>
      </c>
      <c r="F16" s="17">
        <v>767</v>
      </c>
      <c r="G16" s="16">
        <v>124</v>
      </c>
      <c r="I16" s="16">
        <v>1045419.05</v>
      </c>
      <c r="J16" s="16">
        <v>1224633.74</v>
      </c>
      <c r="K16" s="16">
        <v>298691.14999999997</v>
      </c>
      <c r="L16" s="16">
        <v>298691.14999999997</v>
      </c>
      <c r="M16" s="16">
        <v>119476.48</v>
      </c>
    </row>
    <row r="17" spans="1:13" ht="12.75">
      <c r="A17" s="3">
        <v>42887</v>
      </c>
      <c r="B17" s="16">
        <v>33968985.980000004</v>
      </c>
      <c r="C17" s="16">
        <v>421062.04000000004</v>
      </c>
      <c r="D17" s="16">
        <f t="shared" si="0"/>
        <v>31025638.200000003</v>
      </c>
      <c r="E17" s="16">
        <v>2522285.7400000007</v>
      </c>
      <c r="F17" s="17">
        <v>767</v>
      </c>
      <c r="G17" s="16">
        <v>119</v>
      </c>
      <c r="I17" s="16">
        <v>882799.99</v>
      </c>
      <c r="J17" s="16">
        <v>1034137.1499999998</v>
      </c>
      <c r="K17" s="16">
        <v>252228.58999999997</v>
      </c>
      <c r="L17" s="16">
        <v>252228.58999999997</v>
      </c>
      <c r="M17" s="16">
        <v>100891.4</v>
      </c>
    </row>
    <row r="18" spans="1:13" ht="12.75">
      <c r="A18" s="3">
        <v>42917</v>
      </c>
      <c r="B18" s="16">
        <v>37578217.410000004</v>
      </c>
      <c r="C18" s="16">
        <v>464142.37</v>
      </c>
      <c r="D18" s="16">
        <f t="shared" si="0"/>
        <v>34402871.580000006</v>
      </c>
      <c r="E18" s="16">
        <v>2711203.4600000004</v>
      </c>
      <c r="F18" s="17">
        <v>767</v>
      </c>
      <c r="G18" s="16">
        <v>114</v>
      </c>
      <c r="I18" s="16">
        <v>948921.2300000003</v>
      </c>
      <c r="J18" s="16">
        <v>1111593.4200000002</v>
      </c>
      <c r="K18" s="16">
        <v>271120.35000000003</v>
      </c>
      <c r="L18" s="16">
        <v>271120.35</v>
      </c>
      <c r="M18" s="16">
        <v>108448.18000000002</v>
      </c>
    </row>
    <row r="19" spans="1:13" ht="12.75">
      <c r="A19" s="3">
        <v>42948</v>
      </c>
      <c r="B19" s="16">
        <v>37399661.41</v>
      </c>
      <c r="C19" s="16">
        <v>467603.6399999999</v>
      </c>
      <c r="D19" s="16">
        <f t="shared" si="0"/>
        <v>34255872.699999996</v>
      </c>
      <c r="E19" s="16">
        <v>2676185.0699999994</v>
      </c>
      <c r="F19" s="17">
        <f>23777/31</f>
        <v>767</v>
      </c>
      <c r="G19" s="16">
        <v>113</v>
      </c>
      <c r="I19" s="16">
        <v>936664.77</v>
      </c>
      <c r="J19" s="16">
        <v>1097235.8600000003</v>
      </c>
      <c r="K19" s="16">
        <v>267618.52999999997</v>
      </c>
      <c r="L19" s="16">
        <v>267618.52999999997</v>
      </c>
      <c r="M19" s="16">
        <v>107047.39000000001</v>
      </c>
    </row>
    <row r="20" spans="1:13" ht="12.75">
      <c r="A20" s="3">
        <v>42979</v>
      </c>
      <c r="B20" s="16">
        <v>36846313.46</v>
      </c>
      <c r="C20" s="16">
        <v>519654.80999999994</v>
      </c>
      <c r="D20" s="16">
        <f t="shared" si="0"/>
        <v>33748491.53</v>
      </c>
      <c r="E20" s="16">
        <v>2578167.12</v>
      </c>
      <c r="F20" s="17">
        <f>23010/30</f>
        <v>767</v>
      </c>
      <c r="G20" s="16">
        <f>E20/F20/30</f>
        <v>112.04550717079532</v>
      </c>
      <c r="I20" s="16">
        <v>902358.51</v>
      </c>
      <c r="J20" s="16">
        <v>1057048.52</v>
      </c>
      <c r="K20" s="16">
        <v>257816.72</v>
      </c>
      <c r="L20" s="16">
        <v>257816.72999999998</v>
      </c>
      <c r="M20" s="16">
        <v>103126.67000000001</v>
      </c>
    </row>
    <row r="21" spans="1:13" ht="12.75">
      <c r="A21" s="3">
        <v>43009</v>
      </c>
      <c r="B21" s="16">
        <v>36230280.489999995</v>
      </c>
      <c r="C21" s="16">
        <v>483766.45999999985</v>
      </c>
      <c r="D21" s="16">
        <f t="shared" si="0"/>
        <v>33191987.439999994</v>
      </c>
      <c r="E21" s="16">
        <v>2554526.589999999</v>
      </c>
      <c r="F21" s="17">
        <f>23777/31</f>
        <v>767</v>
      </c>
      <c r="G21" s="16">
        <f>E21/F21/31</f>
        <v>107.436875552004</v>
      </c>
      <c r="I21" s="16">
        <v>894084.33</v>
      </c>
      <c r="J21" s="16">
        <v>1047355.9200000002</v>
      </c>
      <c r="K21" s="16">
        <v>255452.67999999996</v>
      </c>
      <c r="L21" s="16">
        <v>255452.69999999998</v>
      </c>
      <c r="M21" s="16">
        <v>102181.06999999999</v>
      </c>
    </row>
    <row r="22" spans="1:13" ht="12.75">
      <c r="A22" s="3">
        <v>43040</v>
      </c>
      <c r="B22" s="16">
        <v>31802999.900000006</v>
      </c>
      <c r="C22" s="16">
        <v>406110.33</v>
      </c>
      <c r="D22" s="16">
        <f t="shared" si="0"/>
        <v>29121861.950000007</v>
      </c>
      <c r="E22" s="16">
        <v>2275027.6199999996</v>
      </c>
      <c r="F22" s="17">
        <f>23010/30</f>
        <v>767</v>
      </c>
      <c r="G22" s="16">
        <f>E22/F22/30</f>
        <v>98.87125684485005</v>
      </c>
      <c r="I22" s="16">
        <v>796259.7</v>
      </c>
      <c r="J22" s="16">
        <v>932761.3200000002</v>
      </c>
      <c r="K22" s="16">
        <v>227502.77999999997</v>
      </c>
      <c r="L22" s="16">
        <v>227502.77999999997</v>
      </c>
      <c r="M22" s="16">
        <v>91001.1</v>
      </c>
    </row>
    <row r="23" spans="1:13" ht="12.75">
      <c r="A23" s="3">
        <v>43070</v>
      </c>
      <c r="B23" s="16">
        <v>28331042.55000001</v>
      </c>
      <c r="C23" s="16">
        <v>354601.8700000001</v>
      </c>
      <c r="D23" s="16">
        <f t="shared" si="0"/>
        <v>25954665.130000006</v>
      </c>
      <c r="E23" s="16">
        <v>2021775.5500000003</v>
      </c>
      <c r="F23" s="17">
        <f>23777/31</f>
        <v>767</v>
      </c>
      <c r="G23" s="16">
        <f>E23/F23/31</f>
        <v>85.03072507044625</v>
      </c>
      <c r="I23" s="16">
        <v>707621.4199999999</v>
      </c>
      <c r="J23" s="16">
        <v>828927.9700000002</v>
      </c>
      <c r="K23" s="16">
        <v>202177.55</v>
      </c>
      <c r="L23" s="16">
        <v>202177.56</v>
      </c>
      <c r="M23" s="16">
        <v>80871.03</v>
      </c>
    </row>
    <row r="24" spans="1:13" ht="12.75">
      <c r="A24" s="3">
        <v>43101</v>
      </c>
      <c r="B24" s="16">
        <v>29622780.740000002</v>
      </c>
      <c r="C24" s="16">
        <v>363478.25</v>
      </c>
      <c r="D24" s="16">
        <f t="shared" si="0"/>
        <v>27186626.650000002</v>
      </c>
      <c r="E24" s="16">
        <v>2072675.8399999999</v>
      </c>
      <c r="F24" s="17">
        <f>23777/31</f>
        <v>767</v>
      </c>
      <c r="G24" s="16">
        <f>E24/F24/31</f>
        <v>87.17146149640408</v>
      </c>
      <c r="I24" s="16">
        <v>725436.54</v>
      </c>
      <c r="J24" s="16">
        <v>849797.0799999998</v>
      </c>
      <c r="K24" s="16">
        <v>207267.61</v>
      </c>
      <c r="L24" s="16">
        <v>207267.61</v>
      </c>
      <c r="M24" s="16">
        <v>82907.04000000001</v>
      </c>
    </row>
    <row r="25" spans="1:13" ht="12.75">
      <c r="A25" s="3">
        <v>43132</v>
      </c>
      <c r="B25" s="16">
        <v>32136733.50999999</v>
      </c>
      <c r="C25" s="16">
        <v>374020.00000000006</v>
      </c>
      <c r="D25" s="16">
        <f t="shared" si="0"/>
        <v>29444535.86999999</v>
      </c>
      <c r="E25" s="16">
        <v>2318177.6399999997</v>
      </c>
      <c r="F25" s="17">
        <f>21476/28</f>
        <v>767</v>
      </c>
      <c r="G25" s="16">
        <f>E25/F25/28</f>
        <v>107.94271000186254</v>
      </c>
      <c r="I25" s="16">
        <v>811362.1900000001</v>
      </c>
      <c r="J25" s="16">
        <v>950452.8200000001</v>
      </c>
      <c r="K25" s="16">
        <v>231817.78999999998</v>
      </c>
      <c r="L25" s="16">
        <v>231817.78999999998</v>
      </c>
      <c r="M25" s="16">
        <v>92727.11</v>
      </c>
    </row>
    <row r="26" spans="1:13" ht="12.75">
      <c r="A26" s="3">
        <v>43160</v>
      </c>
      <c r="B26" s="16">
        <v>34661224.05</v>
      </c>
      <c r="C26" s="16">
        <v>425052.31999999995</v>
      </c>
      <c r="D26" s="16">
        <f t="shared" si="0"/>
        <v>31787948.009999998</v>
      </c>
      <c r="E26" s="16">
        <v>2448223.719999999</v>
      </c>
      <c r="F26" s="17">
        <f>23777/31</f>
        <v>767</v>
      </c>
      <c r="G26" s="16">
        <f>E26/F26/31</f>
        <v>102.9660478613786</v>
      </c>
      <c r="I26" s="16">
        <v>856878.2899999999</v>
      </c>
      <c r="J26" s="16">
        <v>1003771.71</v>
      </c>
      <c r="K26" s="16">
        <v>244822.38999999998</v>
      </c>
      <c r="L26" s="16">
        <v>244822.39999999997</v>
      </c>
      <c r="M26" s="16">
        <v>97928.97000000003</v>
      </c>
    </row>
    <row r="27" spans="1:13" ht="13.5" thickBot="1">
      <c r="A27" s="60" t="s">
        <v>20</v>
      </c>
      <c r="B27" s="61">
        <f>SUM(B15:B26)</f>
        <v>414003930.24</v>
      </c>
      <c r="C27" s="61">
        <f>SUM(C15:C26)</f>
        <v>4938567.470000001</v>
      </c>
      <c r="D27" s="61">
        <f>SUM(D15:D26)</f>
        <v>379082454</v>
      </c>
      <c r="E27" s="61">
        <f>SUM(E15:E26)</f>
        <v>29982908.770000003</v>
      </c>
      <c r="F27" s="62">
        <f>AVERAGE(F15:F26)</f>
        <v>767</v>
      </c>
      <c r="G27" s="61">
        <f>AVERAGE(G15:G26)</f>
        <v>107.78871533314508</v>
      </c>
      <c r="H27" s="33"/>
      <c r="I27" s="61">
        <f>SUM(I15:I26)</f>
        <v>10494018.159999998</v>
      </c>
      <c r="J27" s="61">
        <f>SUM(J15:J26)</f>
        <v>12292992.600000001</v>
      </c>
      <c r="K27" s="61">
        <f>SUM(K15:K26)</f>
        <v>2998291.03</v>
      </c>
      <c r="L27" s="61">
        <f>SUM(L15:L26)</f>
        <v>2998291.0799999996</v>
      </c>
      <c r="M27" s="61">
        <f>SUM(M15:M26)</f>
        <v>1199316.37</v>
      </c>
    </row>
    <row r="28" spans="2:13" ht="10.5" customHeight="1" thickTop="1">
      <c r="B28" s="19"/>
      <c r="C28" s="19"/>
      <c r="D28" s="19"/>
      <c r="E28" s="19"/>
      <c r="I28" s="19"/>
      <c r="J28" s="19"/>
      <c r="K28" s="19"/>
      <c r="L28" s="19"/>
      <c r="M28" s="19"/>
    </row>
    <row r="29" spans="1:13" s="22" customFormat="1" ht="12.75">
      <c r="A29" s="20"/>
      <c r="B29" s="21"/>
      <c r="C29" s="21">
        <f>C27/B27</f>
        <v>0.011928793688352403</v>
      </c>
      <c r="D29" s="21">
        <f>D27/B27</f>
        <v>0.9156494088842203</v>
      </c>
      <c r="E29" s="21">
        <f>E27/B27</f>
        <v>0.07242179742742726</v>
      </c>
      <c r="I29" s="21">
        <f>I27/$E$27</f>
        <v>0.3500000030183862</v>
      </c>
      <c r="J29" s="21">
        <f>J27/$E$27</f>
        <v>0.41000000014341503</v>
      </c>
      <c r="K29" s="21">
        <f>K27/$E$27</f>
        <v>0.10000000510290714</v>
      </c>
      <c r="L29" s="21">
        <f>L27/$E$27</f>
        <v>0.10000000677052386</v>
      </c>
      <c r="M29" s="21">
        <f>M27/$E$27</f>
        <v>0.04000000064036482</v>
      </c>
    </row>
    <row r="31" spans="1:13" s="23" customFormat="1" ht="12.75">
      <c r="A31" s="81" t="s">
        <v>21</v>
      </c>
      <c r="B31" s="82"/>
      <c r="C31" s="82"/>
      <c r="D31" s="82"/>
      <c r="E31" s="82"/>
      <c r="F31" s="82"/>
      <c r="G31" s="82"/>
      <c r="H31" s="82"/>
      <c r="I31" s="82"/>
      <c r="J31" s="82"/>
      <c r="K31" s="82"/>
      <c r="L31" s="82"/>
      <c r="M31" s="88"/>
    </row>
    <row r="32" ht="12.75">
      <c r="A32" s="24"/>
    </row>
    <row r="33" spans="1:12" s="45" customFormat="1" ht="12.75" customHeight="1">
      <c r="A33" s="41" t="s">
        <v>22</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79</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23</v>
      </c>
      <c r="B38" s="42"/>
      <c r="C38" s="43" t="s">
        <v>94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25</v>
      </c>
      <c r="B40" s="42"/>
      <c r="C40" s="42" t="s">
        <v>55</v>
      </c>
      <c r="E40" s="46"/>
      <c r="F40" s="47"/>
      <c r="G40" s="42"/>
      <c r="H40" s="42"/>
      <c r="I40" s="42"/>
      <c r="J40" s="42"/>
      <c r="K40" s="42"/>
      <c r="L40" s="42"/>
      <c r="M40" s="42"/>
    </row>
    <row r="41" spans="1:13" s="45" customFormat="1" ht="12.75">
      <c r="A41" s="41"/>
      <c r="B41" s="42"/>
      <c r="C41" s="42" t="s">
        <v>56</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28</v>
      </c>
      <c r="B43" s="42"/>
      <c r="C43" s="42" t="s">
        <v>29</v>
      </c>
      <c r="E43" s="46"/>
      <c r="F43" s="47"/>
      <c r="G43" s="42"/>
      <c r="H43" s="42"/>
      <c r="I43" s="42"/>
      <c r="J43" s="42"/>
      <c r="K43" s="42"/>
      <c r="L43" s="42"/>
      <c r="M43" s="42"/>
    </row>
    <row r="44" spans="1:13" s="45" customFormat="1" ht="6" customHeight="1">
      <c r="A44" s="41"/>
      <c r="B44" s="42"/>
      <c r="C44" s="42"/>
      <c r="D44" s="42"/>
      <c r="E44" s="46"/>
      <c r="F44" s="47"/>
      <c r="G44" s="42"/>
      <c r="H44" s="42"/>
      <c r="I44" s="42"/>
      <c r="J44" s="42"/>
      <c r="K44" s="42"/>
      <c r="L44" s="42"/>
      <c r="M44" s="42"/>
    </row>
    <row r="45" spans="1:12" s="45" customFormat="1" ht="12.75">
      <c r="A45" s="41" t="s">
        <v>68</v>
      </c>
      <c r="B45" s="42"/>
      <c r="C45" s="42" t="s">
        <v>69</v>
      </c>
      <c r="D45" s="46"/>
      <c r="E45" s="47"/>
      <c r="F45" s="42"/>
      <c r="G45" s="42"/>
      <c r="H45" s="42"/>
      <c r="I45" s="42"/>
      <c r="J45" s="42"/>
      <c r="K45" s="42"/>
      <c r="L45" s="42"/>
    </row>
    <row r="46" spans="1:12" s="45" customFormat="1" ht="12.75">
      <c r="A46" s="41"/>
      <c r="B46" s="42"/>
      <c r="C46" s="42" t="s">
        <v>76</v>
      </c>
      <c r="D46" s="46"/>
      <c r="E46" s="47"/>
      <c r="F46" s="42"/>
      <c r="G46" s="42"/>
      <c r="H46" s="42"/>
      <c r="I46" s="42"/>
      <c r="J46" s="42"/>
      <c r="K46" s="42"/>
      <c r="L46" s="42"/>
    </row>
    <row r="47" spans="1:12" s="45" customFormat="1" ht="12.75">
      <c r="A47" s="41"/>
      <c r="B47" s="42"/>
      <c r="C47" s="42" t="s">
        <v>77</v>
      </c>
      <c r="D47" s="46"/>
      <c r="E47" s="47"/>
      <c r="F47" s="42"/>
      <c r="G47" s="42"/>
      <c r="H47" s="42"/>
      <c r="I47" s="42"/>
      <c r="J47" s="42"/>
      <c r="K47" s="42"/>
      <c r="L47" s="42"/>
    </row>
    <row r="48" spans="1:13" s="45" customFormat="1" ht="6" customHeight="1">
      <c r="A48" s="41"/>
      <c r="B48" s="42"/>
      <c r="C48" s="42"/>
      <c r="D48" s="42"/>
      <c r="E48" s="46"/>
      <c r="F48" s="47"/>
      <c r="G48" s="42"/>
      <c r="H48" s="42"/>
      <c r="I48" s="42"/>
      <c r="J48" s="42"/>
      <c r="K48" s="42"/>
      <c r="L48" s="42"/>
      <c r="M48" s="42"/>
    </row>
    <row r="49" spans="1:12" s="45" customFormat="1" ht="12.75">
      <c r="A49" s="41" t="s">
        <v>30</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3" s="45" customFormat="1" ht="6" customHeight="1">
      <c r="A51" s="41"/>
      <c r="B51" s="42"/>
      <c r="C51" s="42"/>
      <c r="D51" s="42"/>
      <c r="E51" s="46"/>
      <c r="F51" s="47"/>
      <c r="G51" s="42"/>
      <c r="H51" s="42"/>
      <c r="I51" s="42"/>
      <c r="J51" s="42"/>
      <c r="K51" s="42"/>
      <c r="L51" s="42"/>
      <c r="M51" s="42"/>
    </row>
    <row r="52" spans="1:12" s="45" customFormat="1" ht="12.75">
      <c r="A52" s="41" t="s">
        <v>78</v>
      </c>
      <c r="B52" s="42"/>
      <c r="C52" s="42" t="s">
        <v>71</v>
      </c>
      <c r="D52" s="46"/>
      <c r="E52" s="47"/>
      <c r="F52" s="42"/>
      <c r="G52" s="42"/>
      <c r="H52" s="42"/>
      <c r="I52" s="42"/>
      <c r="J52" s="42"/>
      <c r="K52" s="42"/>
      <c r="L52" s="42"/>
    </row>
    <row r="53" spans="1:12" s="45" customFormat="1" ht="12.75">
      <c r="A53" s="48"/>
      <c r="B53" s="42"/>
      <c r="C53" s="42" t="s">
        <v>72</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47</v>
      </c>
      <c r="B55" s="42"/>
      <c r="C55" s="42" t="s">
        <v>57</v>
      </c>
      <c r="E55" s="46"/>
      <c r="F55" s="47"/>
      <c r="G55" s="42"/>
      <c r="H55" s="42"/>
      <c r="I55" s="42"/>
      <c r="J55" s="42"/>
      <c r="K55" s="42"/>
      <c r="L55" s="42"/>
      <c r="M55" s="46"/>
    </row>
    <row r="56" spans="1:13" s="45" customFormat="1" ht="12.75">
      <c r="A56" s="48"/>
      <c r="B56" s="42"/>
      <c r="C56" s="42" t="s">
        <v>58</v>
      </c>
      <c r="E56" s="46"/>
      <c r="F56" s="47"/>
      <c r="G56" s="42"/>
      <c r="H56" s="42"/>
      <c r="I56" s="42"/>
      <c r="J56" s="42"/>
      <c r="K56" s="42"/>
      <c r="L56" s="42"/>
      <c r="M56" s="46"/>
    </row>
    <row r="57" spans="1:13" s="45" customFormat="1" ht="12.75">
      <c r="A57" s="48"/>
      <c r="B57" s="42"/>
      <c r="C57" s="42" t="s">
        <v>110</v>
      </c>
      <c r="E57" s="46"/>
      <c r="F57" s="47"/>
      <c r="G57" s="42"/>
      <c r="H57" s="42"/>
      <c r="I57" s="42"/>
      <c r="J57" s="42"/>
      <c r="K57" s="42"/>
      <c r="L57" s="42"/>
      <c r="M57" s="46"/>
    </row>
    <row r="58" spans="1:13" s="45" customFormat="1" ht="12.75">
      <c r="A58" s="48"/>
      <c r="B58" s="42"/>
      <c r="C58" s="42" t="s">
        <v>111</v>
      </c>
      <c r="E58" s="46"/>
      <c r="F58" s="47"/>
      <c r="G58" s="42"/>
      <c r="H58" s="42"/>
      <c r="I58" s="42"/>
      <c r="J58" s="42"/>
      <c r="K58" s="42"/>
      <c r="L58" s="42"/>
      <c r="M58" s="46"/>
    </row>
    <row r="59" spans="1:13" s="45" customFormat="1" ht="12.75">
      <c r="A59" s="41"/>
      <c r="B59" s="42"/>
      <c r="C59" s="42"/>
      <c r="E59" s="46"/>
      <c r="F59" s="47"/>
      <c r="G59" s="42"/>
      <c r="H59" s="42"/>
      <c r="I59" s="42"/>
      <c r="J59" s="42"/>
      <c r="K59" s="42"/>
      <c r="L59" s="42"/>
      <c r="M59" s="46"/>
    </row>
    <row r="60" spans="1:13" s="45" customFormat="1" ht="12.75">
      <c r="A60" s="41" t="s">
        <v>103</v>
      </c>
      <c r="B60" s="42"/>
      <c r="C60" s="23" t="s">
        <v>104</v>
      </c>
      <c r="E60" s="46"/>
      <c r="F60" s="47"/>
      <c r="G60" s="42"/>
      <c r="H60" s="42"/>
      <c r="I60" s="42"/>
      <c r="J60" s="42"/>
      <c r="K60" s="42"/>
      <c r="L60" s="42"/>
      <c r="M60" s="46"/>
    </row>
    <row r="61" spans="1:13" s="45" customFormat="1" ht="12.75">
      <c r="A61" s="48"/>
      <c r="B61" s="42"/>
      <c r="C61" s="16" t="s">
        <v>106</v>
      </c>
      <c r="E61" s="46"/>
      <c r="F61" s="47"/>
      <c r="G61" s="42"/>
      <c r="H61" s="42"/>
      <c r="I61" s="42"/>
      <c r="J61" s="42"/>
      <c r="K61" s="42"/>
      <c r="L61" s="42"/>
      <c r="M61" s="46"/>
    </row>
    <row r="62" spans="1:13" s="45" customFormat="1" ht="12.75">
      <c r="A62" s="48"/>
      <c r="B62" s="42"/>
      <c r="C62" s="64" t="s">
        <v>107</v>
      </c>
      <c r="E62" s="46"/>
      <c r="F62" s="47"/>
      <c r="G62" s="42"/>
      <c r="H62" s="42"/>
      <c r="I62" s="42"/>
      <c r="J62" s="42"/>
      <c r="K62" s="42"/>
      <c r="L62" s="42"/>
      <c r="M62" s="46"/>
    </row>
    <row r="63" spans="1:12" ht="12.75">
      <c r="A63" s="28"/>
      <c r="B63" s="26"/>
      <c r="C63" s="26"/>
      <c r="D63" s="26"/>
      <c r="F63" s="27"/>
      <c r="G63" s="26"/>
      <c r="H63" s="26"/>
      <c r="I63" s="26"/>
      <c r="J63" s="26"/>
      <c r="K63" s="26"/>
      <c r="L63" s="26"/>
    </row>
    <row r="64" spans="1:13" ht="12.75">
      <c r="A64" s="81" t="s">
        <v>31</v>
      </c>
      <c r="B64" s="82"/>
      <c r="C64" s="82"/>
      <c r="D64" s="82"/>
      <c r="E64" s="82"/>
      <c r="F64" s="82"/>
      <c r="G64" s="82"/>
      <c r="H64" s="82"/>
      <c r="I64" s="82"/>
      <c r="J64" s="82"/>
      <c r="K64" s="82"/>
      <c r="L64" s="82"/>
      <c r="M64" s="88"/>
    </row>
    <row r="65" ht="12.75">
      <c r="A65" s="24"/>
    </row>
    <row r="66" spans="1:13" ht="13.5">
      <c r="A66" s="32"/>
      <c r="E66" s="10" t="s">
        <v>9</v>
      </c>
      <c r="F66" s="83" t="s">
        <v>83</v>
      </c>
      <c r="G66" s="83"/>
      <c r="H66" s="83"/>
      <c r="I66" s="83"/>
      <c r="J66" s="10" t="s">
        <v>10</v>
      </c>
      <c r="K66" s="53" t="s">
        <v>74</v>
      </c>
      <c r="L66" s="10" t="s">
        <v>45</v>
      </c>
      <c r="M66" s="34"/>
    </row>
    <row r="67" spans="1:13" ht="12.75">
      <c r="A67" s="35"/>
      <c r="E67" s="8" t="s">
        <v>17</v>
      </c>
      <c r="F67" s="8" t="s">
        <v>80</v>
      </c>
      <c r="G67" s="57" t="s">
        <v>81</v>
      </c>
      <c r="H67" s="36"/>
      <c r="I67" s="8" t="s">
        <v>82</v>
      </c>
      <c r="J67" s="8" t="s">
        <v>19</v>
      </c>
      <c r="K67" s="54" t="s">
        <v>75</v>
      </c>
      <c r="L67" s="8" t="s">
        <v>46</v>
      </c>
      <c r="M67" s="34"/>
    </row>
    <row r="68" spans="2:13" ht="12.75">
      <c r="B68" s="37" t="s">
        <v>50</v>
      </c>
      <c r="C68" s="37"/>
      <c r="D68" s="37"/>
      <c r="E68" s="55">
        <v>0.35</v>
      </c>
      <c r="F68" s="55">
        <v>0.31</v>
      </c>
      <c r="G68" s="58">
        <v>0.0875</v>
      </c>
      <c r="H68" s="56"/>
      <c r="I68" s="55">
        <v>0.0125</v>
      </c>
      <c r="J68" s="55">
        <v>0.1</v>
      </c>
      <c r="K68" s="55">
        <v>0.1</v>
      </c>
      <c r="L68" s="55">
        <v>0.04</v>
      </c>
      <c r="M68" s="39"/>
    </row>
    <row r="69" spans="2:13" ht="12.75">
      <c r="B69" s="37" t="s">
        <v>51</v>
      </c>
      <c r="C69" s="37"/>
      <c r="D69" s="37"/>
      <c r="E69" s="55">
        <v>0.39</v>
      </c>
      <c r="F69" s="55">
        <v>0.31</v>
      </c>
      <c r="G69" s="58">
        <v>0.0875</v>
      </c>
      <c r="H69" s="56"/>
      <c r="I69" s="55">
        <v>0.0125</v>
      </c>
      <c r="J69" s="55">
        <v>0.1</v>
      </c>
      <c r="K69" s="55">
        <v>0.1</v>
      </c>
      <c r="L69" s="55">
        <v>0</v>
      </c>
      <c r="M69" s="39"/>
    </row>
    <row r="70" spans="1:13" s="23" customFormat="1" ht="12.75">
      <c r="A70" s="3"/>
      <c r="B70" s="37" t="s">
        <v>48</v>
      </c>
      <c r="C70" s="37"/>
      <c r="D70" s="37"/>
      <c r="E70" s="55">
        <v>0.41</v>
      </c>
      <c r="F70" s="55">
        <v>0.31</v>
      </c>
      <c r="G70" s="58">
        <v>0.0875</v>
      </c>
      <c r="H70" s="56"/>
      <c r="I70" s="55">
        <v>0.0125</v>
      </c>
      <c r="J70" s="55">
        <v>0.08</v>
      </c>
      <c r="K70" s="55">
        <v>0.1</v>
      </c>
      <c r="L70" s="55">
        <v>0</v>
      </c>
      <c r="M70" s="39"/>
    </row>
    <row r="71" spans="1:13" s="23" customFormat="1" ht="12.75">
      <c r="A71" s="3"/>
      <c r="B71" s="37"/>
      <c r="C71" s="37"/>
      <c r="D71" s="37"/>
      <c r="E71" s="26"/>
      <c r="F71" s="27"/>
      <c r="G71" s="38"/>
      <c r="H71" s="26"/>
      <c r="I71" s="38"/>
      <c r="J71" s="38"/>
      <c r="K71" s="38"/>
      <c r="L71" s="38"/>
      <c r="M71" s="39"/>
    </row>
    <row r="72" spans="1:13" ht="12.75">
      <c r="A72" s="84" t="s">
        <v>39</v>
      </c>
      <c r="B72" s="85"/>
      <c r="C72" s="85"/>
      <c r="D72" s="85"/>
      <c r="E72" s="85"/>
      <c r="F72" s="85"/>
      <c r="G72" s="85"/>
      <c r="H72" s="85"/>
      <c r="I72" s="85"/>
      <c r="J72" s="85"/>
      <c r="K72" s="85"/>
      <c r="L72" s="85"/>
      <c r="M72" s="89"/>
    </row>
    <row r="73" spans="1:6" ht="9.75" customHeight="1">
      <c r="A73" s="24"/>
      <c r="E73"/>
      <c r="F73" s="16"/>
    </row>
    <row r="74" spans="1:13" ht="54" customHeight="1">
      <c r="A74" s="86" t="s">
        <v>108</v>
      </c>
      <c r="B74" s="87"/>
      <c r="C74" s="87"/>
      <c r="D74" s="87"/>
      <c r="E74" s="87"/>
      <c r="F74" s="87"/>
      <c r="G74" s="87"/>
      <c r="H74" s="87"/>
      <c r="I74" s="87"/>
      <c r="J74" s="87"/>
      <c r="K74" s="87"/>
      <c r="L74" s="87"/>
      <c r="M74" s="87"/>
    </row>
    <row r="75" spans="1:6" ht="12.75">
      <c r="A75" s="16"/>
      <c r="E75"/>
      <c r="F75" s="16"/>
    </row>
    <row r="76" spans="2:5" ht="12.75">
      <c r="B76" s="24" t="s">
        <v>40</v>
      </c>
      <c r="C76" s="24"/>
      <c r="D76" s="24"/>
      <c r="E76" s="16">
        <v>137103</v>
      </c>
    </row>
    <row r="77" spans="2:5" ht="12.75">
      <c r="B77" s="24" t="s">
        <v>41</v>
      </c>
      <c r="C77" s="24"/>
      <c r="D77" s="24"/>
      <c r="E77" s="16">
        <v>231788</v>
      </c>
    </row>
    <row r="78" spans="2:5" ht="12.75">
      <c r="B78" s="16" t="s">
        <v>42</v>
      </c>
      <c r="E78" s="16">
        <v>256796</v>
      </c>
    </row>
    <row r="79" ht="7.5" customHeight="1">
      <c r="E79" s="16" t="s">
        <v>36</v>
      </c>
    </row>
    <row r="81" ht="12.75">
      <c r="A81" s="28" t="s">
        <v>91</v>
      </c>
    </row>
  </sheetData>
  <sheetProtection/>
  <mergeCells count="12">
    <mergeCell ref="A1:M1"/>
    <mergeCell ref="A2:M2"/>
    <mergeCell ref="A3:M3"/>
    <mergeCell ref="A4:M4"/>
    <mergeCell ref="A5:M5"/>
    <mergeCell ref="A8:M8"/>
    <mergeCell ref="I10:M10"/>
    <mergeCell ref="A31:M31"/>
    <mergeCell ref="A64:M64"/>
    <mergeCell ref="F66:I66"/>
    <mergeCell ref="A72:M72"/>
    <mergeCell ref="A74:M74"/>
  </mergeCells>
  <hyperlinks>
    <hyperlink ref="A4" r:id="rId1" display="www.vernondowns.com"/>
  </hyperlinks>
  <printOptions horizontalCentered="1"/>
  <pageMargins left="0.25" right="0.25" top="0.75" bottom="0.5" header="0.5" footer="0.5"/>
  <pageSetup fitToHeight="1" fitToWidth="1" horizontalDpi="600" verticalDpi="600" orientation="portrait" scale="69" r:id="rId3"/>
  <ignoredErrors>
    <ignoredError sqref="F20:G25" formula="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F27" sqref="F27"/>
    </sheetView>
  </sheetViews>
  <sheetFormatPr defaultColWidth="9.140625" defaultRowHeight="12.75"/>
  <cols>
    <col min="1" max="1" width="9.28125" style="3" customWidth="1"/>
    <col min="2" max="2" width="14.140625" style="16" customWidth="1"/>
    <col min="3" max="3" width="13.57421875" style="16" customWidth="1"/>
    <col min="4" max="4" width="14.140625" style="16" customWidth="1"/>
    <col min="5" max="5" width="12.7109375" style="16" customWidth="1"/>
    <col min="6" max="6" width="8.57421875" style="17" customWidth="1"/>
    <col min="7" max="7" width="9.57421875" style="16" customWidth="1"/>
    <col min="8" max="8" width="1.421875" style="16" customWidth="1"/>
    <col min="9" max="9" width="13.00390625" style="16" customWidth="1"/>
    <col min="10" max="10" width="12.7109375" style="16" customWidth="1"/>
    <col min="11" max="12" width="12.8515625" style="16" bestFit="1" customWidth="1"/>
    <col min="13" max="13" width="11.28125" style="16" customWidth="1"/>
    <col min="14" max="14" width="12.7109375" style="0" customWidth="1"/>
  </cols>
  <sheetData>
    <row r="1" spans="1:13" ht="18">
      <c r="A1" s="77" t="s">
        <v>52</v>
      </c>
      <c r="B1" s="77"/>
      <c r="C1" s="77"/>
      <c r="D1" s="77"/>
      <c r="E1" s="77"/>
      <c r="F1" s="77"/>
      <c r="G1" s="77"/>
      <c r="H1" s="77"/>
      <c r="I1" s="77"/>
      <c r="J1" s="77"/>
      <c r="K1" s="77"/>
      <c r="L1" s="77"/>
      <c r="M1" s="77"/>
    </row>
    <row r="2" spans="1:13" ht="15">
      <c r="A2" s="78" t="s">
        <v>0</v>
      </c>
      <c r="B2" s="78"/>
      <c r="C2" s="78"/>
      <c r="D2" s="78"/>
      <c r="E2" s="78"/>
      <c r="F2" s="78"/>
      <c r="G2" s="78"/>
      <c r="H2" s="78"/>
      <c r="I2" s="78"/>
      <c r="J2" s="78"/>
      <c r="K2" s="78"/>
      <c r="L2" s="78"/>
      <c r="M2" s="78"/>
    </row>
    <row r="3" spans="1:13" s="1" customFormat="1" ht="15">
      <c r="A3" s="78" t="s">
        <v>1</v>
      </c>
      <c r="B3" s="78"/>
      <c r="C3" s="78"/>
      <c r="D3" s="78"/>
      <c r="E3" s="78"/>
      <c r="F3" s="78"/>
      <c r="G3" s="78"/>
      <c r="H3" s="78"/>
      <c r="I3" s="78"/>
      <c r="J3" s="78"/>
      <c r="K3" s="78"/>
      <c r="L3" s="78"/>
      <c r="M3" s="78"/>
    </row>
    <row r="4" spans="1:13" s="1" customFormat="1" ht="14.25" customHeight="1">
      <c r="A4" s="79" t="s">
        <v>2</v>
      </c>
      <c r="B4" s="79"/>
      <c r="C4" s="79"/>
      <c r="D4" s="79"/>
      <c r="E4" s="79"/>
      <c r="F4" s="79"/>
      <c r="G4" s="79"/>
      <c r="H4" s="79"/>
      <c r="I4" s="79"/>
      <c r="J4" s="79"/>
      <c r="K4" s="79"/>
      <c r="L4" s="79"/>
      <c r="M4" s="79"/>
    </row>
    <row r="5" spans="1:13" s="1" customFormat="1" ht="14.25">
      <c r="A5" s="80" t="s">
        <v>84</v>
      </c>
      <c r="B5" s="80"/>
      <c r="C5" s="80"/>
      <c r="D5" s="80"/>
      <c r="E5" s="80"/>
      <c r="F5" s="80"/>
      <c r="G5" s="80"/>
      <c r="H5" s="80"/>
      <c r="I5" s="80"/>
      <c r="J5" s="80"/>
      <c r="K5" s="80"/>
      <c r="L5" s="80"/>
      <c r="M5" s="80"/>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81" t="s">
        <v>98</v>
      </c>
      <c r="B8" s="82"/>
      <c r="C8" s="82"/>
      <c r="D8" s="82"/>
      <c r="E8" s="82"/>
      <c r="F8" s="82"/>
      <c r="G8" s="82"/>
      <c r="H8" s="82"/>
      <c r="I8" s="82"/>
      <c r="J8" s="82"/>
      <c r="K8" s="82"/>
      <c r="L8" s="82"/>
      <c r="M8" s="88"/>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83" t="s">
        <v>5</v>
      </c>
      <c r="J10" s="83"/>
      <c r="K10" s="83"/>
      <c r="L10" s="83"/>
      <c r="M10" s="83"/>
    </row>
    <row r="11" spans="1:13" s="1" customFormat="1" ht="12.75">
      <c r="A11" s="3"/>
      <c r="B11" s="5"/>
      <c r="C11" s="5"/>
      <c r="D11" s="5"/>
      <c r="E11" s="5"/>
      <c r="F11" s="6"/>
      <c r="G11" s="5"/>
      <c r="H11" s="5"/>
      <c r="I11" s="5"/>
      <c r="J11" s="5"/>
      <c r="K11" s="5"/>
      <c r="L11" s="5"/>
      <c r="M11" s="5"/>
    </row>
    <row r="12" spans="1:13" s="12" customFormat="1" ht="12">
      <c r="A12" s="9"/>
      <c r="B12" s="10" t="s">
        <v>6</v>
      </c>
      <c r="C12" s="10" t="s">
        <v>65</v>
      </c>
      <c r="D12" s="10" t="s">
        <v>6</v>
      </c>
      <c r="E12" s="10"/>
      <c r="F12" s="11" t="s">
        <v>7</v>
      </c>
      <c r="G12" s="10" t="s">
        <v>8</v>
      </c>
      <c r="H12" s="10"/>
      <c r="I12" s="10" t="s">
        <v>9</v>
      </c>
      <c r="J12" s="10" t="s">
        <v>73</v>
      </c>
      <c r="K12" s="10" t="s">
        <v>10</v>
      </c>
      <c r="L12" s="10" t="s">
        <v>74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75</v>
      </c>
      <c r="M13" s="8" t="s">
        <v>46</v>
      </c>
    </row>
    <row r="15" spans="1:13" ht="12.75">
      <c r="A15" s="3">
        <v>42461</v>
      </c>
      <c r="B15" s="16">
        <v>44861384.71</v>
      </c>
      <c r="C15" s="16">
        <v>236843.38</v>
      </c>
      <c r="D15" s="16">
        <f aca="true" t="shared" si="0" ref="D15:D26">+B15-C15-E15</f>
        <v>40902300.769999996</v>
      </c>
      <c r="E15" s="16">
        <v>3722240.56</v>
      </c>
      <c r="F15" s="17">
        <v>767</v>
      </c>
      <c r="G15" s="16">
        <f>E15/F15/30</f>
        <v>161.76621295089092</v>
      </c>
      <c r="I15" s="16">
        <v>1302784.21</v>
      </c>
      <c r="J15" s="16">
        <v>1526118.65</v>
      </c>
      <c r="K15" s="16">
        <v>372224.08</v>
      </c>
      <c r="L15" s="16">
        <v>372224.07</v>
      </c>
      <c r="M15" s="16">
        <v>148889.63</v>
      </c>
    </row>
    <row r="16" spans="1:13" ht="12.75">
      <c r="A16" s="3">
        <v>42491</v>
      </c>
      <c r="B16" s="16">
        <v>45001259.48</v>
      </c>
      <c r="C16" s="16">
        <v>536306.16</v>
      </c>
      <c r="D16" s="16">
        <f t="shared" si="0"/>
        <v>41109783.95</v>
      </c>
      <c r="E16" s="16">
        <v>3355169.37</v>
      </c>
      <c r="F16" s="17">
        <v>767</v>
      </c>
      <c r="G16" s="16">
        <v>141</v>
      </c>
      <c r="I16" s="16">
        <v>1174309.3</v>
      </c>
      <c r="J16" s="16">
        <v>1375619.44</v>
      </c>
      <c r="K16" s="16">
        <v>335516.97</v>
      </c>
      <c r="L16" s="16">
        <v>335516.97</v>
      </c>
      <c r="M16" s="16">
        <v>134206.8</v>
      </c>
    </row>
    <row r="17" spans="1:13" ht="12.75">
      <c r="A17" s="3">
        <v>42522</v>
      </c>
      <c r="B17" s="16">
        <v>42478414.81</v>
      </c>
      <c r="C17" s="16">
        <v>575920.53</v>
      </c>
      <c r="D17" s="16">
        <f t="shared" si="0"/>
        <v>38829794.42</v>
      </c>
      <c r="E17" s="16">
        <v>3072699.86</v>
      </c>
      <c r="F17" s="17">
        <v>767</v>
      </c>
      <c r="G17" s="16">
        <v>134</v>
      </c>
      <c r="I17" s="16">
        <v>1075444.97</v>
      </c>
      <c r="J17" s="16">
        <v>1259806.93</v>
      </c>
      <c r="K17" s="16">
        <v>307270.02</v>
      </c>
      <c r="L17" s="16">
        <v>307270.02</v>
      </c>
      <c r="M17" s="16">
        <v>122908.04</v>
      </c>
    </row>
    <row r="18" spans="1:13" ht="12.75">
      <c r="A18" s="3">
        <v>42552</v>
      </c>
      <c r="B18" s="16">
        <v>47664885.64</v>
      </c>
      <c r="C18" s="16">
        <v>613841.53</v>
      </c>
      <c r="D18" s="16">
        <f t="shared" si="0"/>
        <v>43516956.48</v>
      </c>
      <c r="E18" s="16">
        <v>3534087.63</v>
      </c>
      <c r="F18" s="17">
        <v>767</v>
      </c>
      <c r="G18" s="16">
        <v>149</v>
      </c>
      <c r="I18" s="16">
        <v>1236930.65</v>
      </c>
      <c r="J18" s="16">
        <v>1448975.89</v>
      </c>
      <c r="K18" s="16">
        <v>353408.77</v>
      </c>
      <c r="L18" s="16">
        <v>353408.77</v>
      </c>
      <c r="M18" s="16">
        <v>141363.51</v>
      </c>
    </row>
    <row r="19" spans="1:13" ht="12.75">
      <c r="A19" s="3">
        <v>42583</v>
      </c>
      <c r="B19" s="16">
        <v>44810935.06</v>
      </c>
      <c r="C19" s="16">
        <v>557343.38</v>
      </c>
      <c r="D19" s="16">
        <f t="shared" si="0"/>
        <v>40869529.89</v>
      </c>
      <c r="E19" s="16">
        <v>3384061.79</v>
      </c>
      <c r="F19" s="17">
        <v>767</v>
      </c>
      <c r="G19" s="16">
        <v>142</v>
      </c>
      <c r="I19" s="16">
        <v>1184421.64</v>
      </c>
      <c r="J19" s="16">
        <v>1387465.34</v>
      </c>
      <c r="K19" s="16">
        <v>338406.17</v>
      </c>
      <c r="L19" s="16">
        <v>338406.17</v>
      </c>
      <c r="M19" s="16">
        <v>135362.49</v>
      </c>
    </row>
    <row r="20" spans="1:13" ht="12.75">
      <c r="A20" s="3">
        <v>42614</v>
      </c>
      <c r="B20" s="16">
        <v>43795926.64</v>
      </c>
      <c r="C20" s="16">
        <v>574855.55</v>
      </c>
      <c r="D20" s="16">
        <f t="shared" si="0"/>
        <v>40107923.870000005</v>
      </c>
      <c r="E20" s="16">
        <v>3113147.22</v>
      </c>
      <c r="F20" s="17">
        <v>767</v>
      </c>
      <c r="G20" s="16">
        <v>135</v>
      </c>
      <c r="I20" s="16">
        <v>1089601.54</v>
      </c>
      <c r="J20" s="16">
        <v>1276390.38</v>
      </c>
      <c r="K20" s="16">
        <v>311314.74</v>
      </c>
      <c r="L20" s="16">
        <v>311314.73</v>
      </c>
      <c r="M20" s="16">
        <v>124525.88</v>
      </c>
    </row>
    <row r="21" spans="1:13" ht="12.75">
      <c r="A21" s="3">
        <v>42644</v>
      </c>
      <c r="B21" s="16">
        <v>41804912.37</v>
      </c>
      <c r="C21" s="16">
        <v>529185.47</v>
      </c>
      <c r="D21" s="16">
        <f t="shared" si="0"/>
        <v>38210999.14</v>
      </c>
      <c r="E21" s="16">
        <v>3064727.76</v>
      </c>
      <c r="F21" s="17">
        <v>767</v>
      </c>
      <c r="G21" s="16">
        <v>129</v>
      </c>
      <c r="I21" s="16">
        <v>1072654.74</v>
      </c>
      <c r="J21" s="16">
        <v>1256538.36</v>
      </c>
      <c r="K21" s="16">
        <v>306472.78</v>
      </c>
      <c r="L21" s="16">
        <v>306472.77</v>
      </c>
      <c r="M21" s="16">
        <v>122589.1</v>
      </c>
    </row>
    <row r="22" spans="1:13" ht="12.75">
      <c r="A22" s="3">
        <v>42675</v>
      </c>
      <c r="B22" s="16">
        <v>35841767.44</v>
      </c>
      <c r="C22" s="16">
        <v>426567.09</v>
      </c>
      <c r="D22" s="16">
        <f t="shared" si="0"/>
        <v>32734455.999999993</v>
      </c>
      <c r="E22" s="16">
        <v>2680744.35</v>
      </c>
      <c r="F22" s="17">
        <v>767</v>
      </c>
      <c r="G22" s="16">
        <v>117</v>
      </c>
      <c r="I22" s="16">
        <v>938260.54</v>
      </c>
      <c r="J22" s="16">
        <v>1099105.19</v>
      </c>
      <c r="K22" s="16">
        <v>268074.45</v>
      </c>
      <c r="L22" s="16">
        <v>268074.46</v>
      </c>
      <c r="M22" s="16">
        <v>107229.78</v>
      </c>
    </row>
    <row r="23" spans="1:13" ht="12.75">
      <c r="A23" s="3">
        <v>42705</v>
      </c>
      <c r="B23" s="16">
        <v>32059743.25</v>
      </c>
      <c r="C23" s="16">
        <v>359612.2</v>
      </c>
      <c r="D23" s="16">
        <f t="shared" si="0"/>
        <v>29380485.55</v>
      </c>
      <c r="E23" s="16">
        <v>2319645.5</v>
      </c>
      <c r="F23" s="17">
        <v>767</v>
      </c>
      <c r="G23" s="16">
        <v>98</v>
      </c>
      <c r="I23" s="16">
        <v>811875.94</v>
      </c>
      <c r="J23" s="16">
        <v>951054.68</v>
      </c>
      <c r="K23" s="16">
        <v>231964.57</v>
      </c>
      <c r="L23" s="16">
        <v>231964.58</v>
      </c>
      <c r="M23" s="16">
        <v>92785.8</v>
      </c>
    </row>
    <row r="24" spans="1:13" ht="12.75">
      <c r="A24" s="3">
        <v>42736</v>
      </c>
      <c r="B24" s="16">
        <v>36923965.8</v>
      </c>
      <c r="C24" s="16">
        <v>441750.41</v>
      </c>
      <c r="D24" s="16">
        <f t="shared" si="0"/>
        <v>33758721.81</v>
      </c>
      <c r="E24" s="16">
        <v>2723493.58</v>
      </c>
      <c r="F24" s="17">
        <v>767</v>
      </c>
      <c r="G24" s="16">
        <v>115</v>
      </c>
      <c r="I24" s="16">
        <v>953222.79</v>
      </c>
      <c r="J24" s="16">
        <v>1116632.39</v>
      </c>
      <c r="K24" s="16">
        <v>272349.38</v>
      </c>
      <c r="L24" s="16">
        <v>272349.38</v>
      </c>
      <c r="M24" s="16">
        <v>108939.73</v>
      </c>
    </row>
    <row r="25" spans="1:13" ht="12.75">
      <c r="A25" s="3">
        <v>42767</v>
      </c>
      <c r="B25" s="16">
        <v>34086618.06</v>
      </c>
      <c r="C25" s="16">
        <v>391502.85</v>
      </c>
      <c r="D25" s="16">
        <f t="shared" si="0"/>
        <v>31015637.16</v>
      </c>
      <c r="E25" s="16">
        <v>2679478.05</v>
      </c>
      <c r="F25" s="17">
        <v>767</v>
      </c>
      <c r="G25" s="16">
        <v>125</v>
      </c>
      <c r="I25" s="16">
        <v>937817.3</v>
      </c>
      <c r="J25" s="16">
        <v>1098586</v>
      </c>
      <c r="K25" s="16">
        <v>267947.83</v>
      </c>
      <c r="L25" s="16">
        <v>267947.83</v>
      </c>
      <c r="M25" s="16">
        <v>107179.1</v>
      </c>
    </row>
    <row r="26" spans="1:13" ht="12.75">
      <c r="A26" s="3">
        <v>42795</v>
      </c>
      <c r="B26" s="16">
        <v>36162764.75</v>
      </c>
      <c r="C26" s="16">
        <v>431608.01</v>
      </c>
      <c r="D26" s="16">
        <f t="shared" si="0"/>
        <v>33117939.42</v>
      </c>
      <c r="E26" s="16">
        <v>2613217.32</v>
      </c>
      <c r="F26" s="17">
        <v>767</v>
      </c>
      <c r="G26" s="16">
        <v>110</v>
      </c>
      <c r="I26" s="16">
        <v>914626.08</v>
      </c>
      <c r="J26" s="16">
        <v>1071419.09</v>
      </c>
      <c r="K26" s="16">
        <v>261321.76</v>
      </c>
      <c r="L26" s="16">
        <v>261321.75</v>
      </c>
      <c r="M26" s="16">
        <v>104528.72</v>
      </c>
    </row>
    <row r="27" spans="1:13" ht="13.5" thickBot="1">
      <c r="A27" s="60" t="s">
        <v>20</v>
      </c>
      <c r="B27" s="61">
        <f>SUM(B15:B26)</f>
        <v>485492578.01</v>
      </c>
      <c r="C27" s="61">
        <f>SUM(C15:C26)</f>
        <v>5675336.56</v>
      </c>
      <c r="D27" s="61">
        <f>SUM(D15:D26)</f>
        <v>443554528.46000004</v>
      </c>
      <c r="E27" s="61">
        <f>SUM(E15:E26)</f>
        <v>36262712.989999995</v>
      </c>
      <c r="F27" s="62">
        <f>AVERAGE(F15:F26)</f>
        <v>767</v>
      </c>
      <c r="G27" s="61">
        <f>AVERAGE(G15:G26)</f>
        <v>129.73051774590758</v>
      </c>
      <c r="H27" s="33"/>
      <c r="I27" s="61">
        <f>SUM(I15:I26)</f>
        <v>12691949.700000001</v>
      </c>
      <c r="J27" s="61">
        <f>SUM(J15:J26)</f>
        <v>14867712.339999998</v>
      </c>
      <c r="K27" s="61">
        <f>SUM(K15:K26)</f>
        <v>3626271.5200000005</v>
      </c>
      <c r="L27" s="61">
        <f>SUM(L15:L26)</f>
        <v>3626271.5</v>
      </c>
      <c r="M27" s="61">
        <f>SUM(M15:M26)</f>
        <v>1450508.58</v>
      </c>
    </row>
    <row r="28" spans="2:13" ht="10.5" customHeight="1" thickTop="1">
      <c r="B28" s="19"/>
      <c r="C28" s="19"/>
      <c r="D28" s="19"/>
      <c r="E28" s="19"/>
      <c r="I28" s="19"/>
      <c r="J28" s="19"/>
      <c r="K28" s="19"/>
      <c r="L28" s="19"/>
      <c r="M28" s="19"/>
    </row>
    <row r="29" spans="1:13" s="22" customFormat="1" ht="12.75">
      <c r="A29" s="20"/>
      <c r="B29" s="21"/>
      <c r="C29" s="21">
        <f>C27/B27</f>
        <v>0.011689852362445593</v>
      </c>
      <c r="D29" s="21">
        <f>D27/B27</f>
        <v>0.9136175269210065</v>
      </c>
      <c r="E29" s="21">
        <f>E27/B27</f>
        <v>0.07469262071654795</v>
      </c>
      <c r="I29" s="21">
        <f>I27/$E$27</f>
        <v>0.3500000042329983</v>
      </c>
      <c r="J29" s="21">
        <f>J27/$E$27</f>
        <v>0.41000000038882917</v>
      </c>
      <c r="K29" s="21">
        <f>K27/$E$27</f>
        <v>0.10000000609441442</v>
      </c>
      <c r="L29" s="21">
        <f>L27/$E$27</f>
        <v>0.1000000055428837</v>
      </c>
      <c r="M29" s="21">
        <f>M27/$E$27</f>
        <v>0.040000001665622766</v>
      </c>
    </row>
    <row r="31" spans="1:13" s="23" customFormat="1" ht="12.75">
      <c r="A31" s="81" t="s">
        <v>21</v>
      </c>
      <c r="B31" s="82"/>
      <c r="C31" s="82"/>
      <c r="D31" s="82"/>
      <c r="E31" s="82"/>
      <c r="F31" s="82"/>
      <c r="G31" s="82"/>
      <c r="H31" s="82"/>
      <c r="I31" s="82"/>
      <c r="J31" s="82"/>
      <c r="K31" s="82"/>
      <c r="L31" s="82"/>
      <c r="M31" s="88"/>
    </row>
    <row r="32" ht="12.75">
      <c r="A32" s="24"/>
    </row>
    <row r="33" spans="1:12" s="45" customFormat="1" ht="12.75" customHeight="1">
      <c r="A33" s="41" t="s">
        <v>22</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79</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23</v>
      </c>
      <c r="B38" s="42"/>
      <c r="C38" s="43" t="s">
        <v>94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25</v>
      </c>
      <c r="B40" s="42"/>
      <c r="C40" s="42" t="s">
        <v>55</v>
      </c>
      <c r="E40" s="46"/>
      <c r="F40" s="47"/>
      <c r="G40" s="42"/>
      <c r="H40" s="42"/>
      <c r="I40" s="42"/>
      <c r="J40" s="42"/>
      <c r="K40" s="42"/>
      <c r="L40" s="42"/>
      <c r="M40" s="42"/>
    </row>
    <row r="41" spans="1:13" s="45" customFormat="1" ht="12.75">
      <c r="A41" s="41"/>
      <c r="B41" s="42"/>
      <c r="C41" s="42" t="s">
        <v>56</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28</v>
      </c>
      <c r="B43" s="42"/>
      <c r="C43" s="42" t="s">
        <v>29</v>
      </c>
      <c r="E43" s="46"/>
      <c r="F43" s="47"/>
      <c r="G43" s="42"/>
      <c r="H43" s="42"/>
      <c r="I43" s="42"/>
      <c r="J43" s="42"/>
      <c r="K43" s="42"/>
      <c r="L43" s="42"/>
      <c r="M43" s="42"/>
    </row>
    <row r="44" spans="1:13" s="45" customFormat="1" ht="6" customHeight="1">
      <c r="A44" s="41"/>
      <c r="B44" s="42"/>
      <c r="C44" s="42"/>
      <c r="D44" s="42"/>
      <c r="E44" s="46"/>
      <c r="F44" s="47"/>
      <c r="G44" s="42"/>
      <c r="H44" s="42"/>
      <c r="I44" s="42"/>
      <c r="J44" s="42"/>
      <c r="K44" s="42"/>
      <c r="L44" s="42"/>
      <c r="M44" s="42"/>
    </row>
    <row r="45" spans="1:12" s="45" customFormat="1" ht="12.75">
      <c r="A45" s="41" t="s">
        <v>68</v>
      </c>
      <c r="B45" s="42"/>
      <c r="C45" s="42" t="s">
        <v>69</v>
      </c>
      <c r="D45" s="46"/>
      <c r="E45" s="47"/>
      <c r="F45" s="42"/>
      <c r="G45" s="42"/>
      <c r="H45" s="42"/>
      <c r="I45" s="42"/>
      <c r="J45" s="42"/>
      <c r="K45" s="42"/>
      <c r="L45" s="42"/>
    </row>
    <row r="46" spans="1:12" s="45" customFormat="1" ht="12.75">
      <c r="A46" s="41"/>
      <c r="B46" s="42"/>
      <c r="C46" s="42" t="s">
        <v>76</v>
      </c>
      <c r="D46" s="46"/>
      <c r="E46" s="47"/>
      <c r="F46" s="42"/>
      <c r="G46" s="42"/>
      <c r="H46" s="42"/>
      <c r="I46" s="42"/>
      <c r="J46" s="42"/>
      <c r="K46" s="42"/>
      <c r="L46" s="42"/>
    </row>
    <row r="47" spans="1:12" s="45" customFormat="1" ht="12.75">
      <c r="A47" s="41"/>
      <c r="B47" s="42"/>
      <c r="C47" s="42" t="s">
        <v>77</v>
      </c>
      <c r="D47" s="46"/>
      <c r="E47" s="47"/>
      <c r="F47" s="42"/>
      <c r="G47" s="42"/>
      <c r="H47" s="42"/>
      <c r="I47" s="42"/>
      <c r="J47" s="42"/>
      <c r="K47" s="42"/>
      <c r="L47" s="42"/>
    </row>
    <row r="48" spans="1:13" s="45" customFormat="1" ht="6" customHeight="1">
      <c r="A48" s="41"/>
      <c r="B48" s="42"/>
      <c r="C48" s="42"/>
      <c r="D48" s="42"/>
      <c r="E48" s="46"/>
      <c r="F48" s="47"/>
      <c r="G48" s="42"/>
      <c r="H48" s="42"/>
      <c r="I48" s="42"/>
      <c r="J48" s="42"/>
      <c r="K48" s="42"/>
      <c r="L48" s="42"/>
      <c r="M48" s="42"/>
    </row>
    <row r="49" spans="1:12" s="45" customFormat="1" ht="12.75">
      <c r="A49" s="41" t="s">
        <v>30</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3" s="45" customFormat="1" ht="6" customHeight="1">
      <c r="A51" s="41"/>
      <c r="B51" s="42"/>
      <c r="C51" s="42"/>
      <c r="D51" s="42"/>
      <c r="E51" s="46"/>
      <c r="F51" s="47"/>
      <c r="G51" s="42"/>
      <c r="H51" s="42"/>
      <c r="I51" s="42"/>
      <c r="J51" s="42"/>
      <c r="K51" s="42"/>
      <c r="L51" s="42"/>
      <c r="M51" s="42"/>
    </row>
    <row r="52" spans="1:12" s="45" customFormat="1" ht="12.75">
      <c r="A52" s="41" t="s">
        <v>78</v>
      </c>
      <c r="B52" s="42"/>
      <c r="C52" s="42" t="s">
        <v>71</v>
      </c>
      <c r="D52" s="46"/>
      <c r="E52" s="47"/>
      <c r="F52" s="42"/>
      <c r="G52" s="42"/>
      <c r="H52" s="42"/>
      <c r="I52" s="42"/>
      <c r="J52" s="42"/>
      <c r="K52" s="42"/>
      <c r="L52" s="42"/>
    </row>
    <row r="53" spans="1:12" s="45" customFormat="1" ht="12.75">
      <c r="A53" s="48"/>
      <c r="B53" s="42"/>
      <c r="C53" s="42" t="s">
        <v>72</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47</v>
      </c>
      <c r="B55" s="42"/>
      <c r="C55" s="42" t="s">
        <v>57</v>
      </c>
      <c r="E55" s="46"/>
      <c r="F55" s="47"/>
      <c r="G55" s="42"/>
      <c r="H55" s="42"/>
      <c r="I55" s="42"/>
      <c r="J55" s="42"/>
      <c r="K55" s="42"/>
      <c r="L55" s="42"/>
      <c r="M55" s="46"/>
    </row>
    <row r="56" spans="1:13" s="45" customFormat="1" ht="12.75">
      <c r="A56" s="48"/>
      <c r="B56" s="42"/>
      <c r="C56" s="42" t="s">
        <v>58</v>
      </c>
      <c r="E56" s="46"/>
      <c r="F56" s="47"/>
      <c r="G56" s="42"/>
      <c r="H56" s="42"/>
      <c r="I56" s="42"/>
      <c r="J56" s="42"/>
      <c r="K56" s="42"/>
      <c r="L56" s="42"/>
      <c r="M56" s="46"/>
    </row>
    <row r="57" spans="1:13" s="45" customFormat="1" ht="12.75">
      <c r="A57" s="48"/>
      <c r="B57" s="42"/>
      <c r="C57" s="42" t="s">
        <v>59</v>
      </c>
      <c r="E57" s="46"/>
      <c r="F57" s="47"/>
      <c r="G57" s="42"/>
      <c r="H57" s="42"/>
      <c r="I57" s="42"/>
      <c r="J57" s="42"/>
      <c r="K57" s="42"/>
      <c r="L57" s="42"/>
      <c r="M57" s="46"/>
    </row>
    <row r="58" spans="1:12" ht="12.75">
      <c r="A58" s="28"/>
      <c r="B58" s="26"/>
      <c r="C58" s="26"/>
      <c r="D58" s="26"/>
      <c r="F58" s="27"/>
      <c r="G58" s="26"/>
      <c r="H58" s="26"/>
      <c r="I58" s="26"/>
      <c r="J58" s="26"/>
      <c r="K58" s="26"/>
      <c r="L58" s="26"/>
    </row>
    <row r="59" spans="1:13" ht="12.75">
      <c r="A59" s="81" t="s">
        <v>31</v>
      </c>
      <c r="B59" s="82"/>
      <c r="C59" s="82"/>
      <c r="D59" s="82"/>
      <c r="E59" s="82"/>
      <c r="F59" s="82"/>
      <c r="G59" s="82"/>
      <c r="H59" s="82"/>
      <c r="I59" s="82"/>
      <c r="J59" s="82"/>
      <c r="K59" s="82"/>
      <c r="L59" s="82"/>
      <c r="M59" s="88"/>
    </row>
    <row r="60" ht="12.75">
      <c r="A60" s="24"/>
    </row>
    <row r="61" spans="1:13" ht="13.5">
      <c r="A61" s="32"/>
      <c r="E61" s="10" t="s">
        <v>9</v>
      </c>
      <c r="F61" s="83" t="s">
        <v>83</v>
      </c>
      <c r="G61" s="83"/>
      <c r="H61" s="83"/>
      <c r="I61" s="83"/>
      <c r="J61" s="10" t="s">
        <v>10</v>
      </c>
      <c r="K61" s="53" t="s">
        <v>74</v>
      </c>
      <c r="L61" s="10" t="s">
        <v>45</v>
      </c>
      <c r="M61" s="34"/>
    </row>
    <row r="62" spans="1:13" ht="12.75">
      <c r="A62" s="35"/>
      <c r="E62" s="8" t="s">
        <v>17</v>
      </c>
      <c r="F62" s="8" t="s">
        <v>80</v>
      </c>
      <c r="G62" s="57" t="s">
        <v>81</v>
      </c>
      <c r="H62" s="36"/>
      <c r="I62" s="8" t="s">
        <v>82</v>
      </c>
      <c r="J62" s="8" t="s">
        <v>19</v>
      </c>
      <c r="K62" s="54" t="s">
        <v>75</v>
      </c>
      <c r="L62" s="8" t="s">
        <v>46</v>
      </c>
      <c r="M62" s="34"/>
    </row>
    <row r="63" spans="2:13" ht="12.75">
      <c r="B63" s="37" t="s">
        <v>50</v>
      </c>
      <c r="C63" s="37"/>
      <c r="D63" s="37"/>
      <c r="E63" s="55">
        <v>0.35</v>
      </c>
      <c r="F63" s="55">
        <v>0.31</v>
      </c>
      <c r="G63" s="58">
        <v>0.0875</v>
      </c>
      <c r="H63" s="56"/>
      <c r="I63" s="55">
        <v>0.0125</v>
      </c>
      <c r="J63" s="55">
        <v>0.1</v>
      </c>
      <c r="K63" s="55">
        <v>0.1</v>
      </c>
      <c r="L63" s="55">
        <v>0.04</v>
      </c>
      <c r="M63" s="39"/>
    </row>
    <row r="64" spans="2:13" ht="12.75">
      <c r="B64" s="37" t="s">
        <v>51</v>
      </c>
      <c r="C64" s="37"/>
      <c r="D64" s="37"/>
      <c r="E64" s="55">
        <v>0.39</v>
      </c>
      <c r="F64" s="55">
        <v>0.31</v>
      </c>
      <c r="G64" s="58">
        <v>0.0875</v>
      </c>
      <c r="H64" s="56"/>
      <c r="I64" s="55">
        <v>0.0125</v>
      </c>
      <c r="J64" s="55">
        <v>0.1</v>
      </c>
      <c r="K64" s="55">
        <v>0.1</v>
      </c>
      <c r="L64" s="55">
        <v>0</v>
      </c>
      <c r="M64" s="39"/>
    </row>
    <row r="65" spans="1:13" s="23" customFormat="1" ht="12.75">
      <c r="A65" s="3"/>
      <c r="B65" s="37" t="s">
        <v>48</v>
      </c>
      <c r="C65" s="37"/>
      <c r="D65" s="37"/>
      <c r="E65" s="55">
        <v>0.41</v>
      </c>
      <c r="F65" s="55">
        <v>0.31</v>
      </c>
      <c r="G65" s="58">
        <v>0.0875</v>
      </c>
      <c r="H65" s="56"/>
      <c r="I65" s="55">
        <v>0.0125</v>
      </c>
      <c r="J65" s="55">
        <v>0.08</v>
      </c>
      <c r="K65" s="55">
        <v>0.1</v>
      </c>
      <c r="L65" s="55">
        <v>0</v>
      </c>
      <c r="M65" s="39"/>
    </row>
    <row r="66" spans="1:13" s="23" customFormat="1" ht="12.75">
      <c r="A66" s="3"/>
      <c r="B66" s="37"/>
      <c r="C66" s="37"/>
      <c r="D66" s="37"/>
      <c r="E66" s="26"/>
      <c r="F66" s="27"/>
      <c r="G66" s="38"/>
      <c r="H66" s="26"/>
      <c r="I66" s="38"/>
      <c r="J66" s="38"/>
      <c r="K66" s="38"/>
      <c r="L66" s="38"/>
      <c r="M66" s="39"/>
    </row>
    <row r="67" spans="1:13" ht="12.75">
      <c r="A67" s="84" t="s">
        <v>39</v>
      </c>
      <c r="B67" s="85"/>
      <c r="C67" s="85"/>
      <c r="D67" s="85"/>
      <c r="E67" s="85"/>
      <c r="F67" s="85"/>
      <c r="G67" s="85"/>
      <c r="H67" s="85"/>
      <c r="I67" s="85"/>
      <c r="J67" s="85"/>
      <c r="K67" s="85"/>
      <c r="L67" s="85"/>
      <c r="M67" s="89"/>
    </row>
    <row r="68" spans="1:6" ht="9.75" customHeight="1">
      <c r="A68" s="24"/>
      <c r="E68"/>
      <c r="F68" s="16"/>
    </row>
    <row r="69" spans="1:13" ht="54" customHeight="1">
      <c r="A69" s="86" t="s">
        <v>100</v>
      </c>
      <c r="B69" s="87"/>
      <c r="C69" s="87"/>
      <c r="D69" s="87"/>
      <c r="E69" s="87"/>
      <c r="F69" s="87"/>
      <c r="G69" s="87"/>
      <c r="H69" s="87"/>
      <c r="I69" s="87"/>
      <c r="J69" s="87"/>
      <c r="K69" s="87"/>
      <c r="L69" s="87"/>
      <c r="M69" s="87"/>
    </row>
    <row r="70" spans="1:6" ht="12.75">
      <c r="A70" s="16"/>
      <c r="E70"/>
      <c r="F70" s="16"/>
    </row>
    <row r="71" spans="2:5" ht="12.75">
      <c r="B71" s="24" t="s">
        <v>40</v>
      </c>
      <c r="C71" s="24"/>
      <c r="D71" s="24"/>
      <c r="E71" s="16">
        <v>137103</v>
      </c>
    </row>
    <row r="72" spans="2:5" ht="12.75">
      <c r="B72" s="24" t="s">
        <v>41</v>
      </c>
      <c r="C72" s="24"/>
      <c r="D72" s="24"/>
      <c r="E72" s="16">
        <v>231788</v>
      </c>
    </row>
    <row r="73" spans="2:5" ht="12.75">
      <c r="B73" s="16" t="s">
        <v>42</v>
      </c>
      <c r="E73" s="16">
        <v>256796</v>
      </c>
    </row>
    <row r="74" ht="7.5" customHeight="1">
      <c r="E74" s="16" t="s">
        <v>36</v>
      </c>
    </row>
    <row r="76" ht="12.75">
      <c r="A76" s="28" t="s">
        <v>91</v>
      </c>
    </row>
  </sheetData>
  <sheetProtection/>
  <mergeCells count="12">
    <mergeCell ref="A1:M1"/>
    <mergeCell ref="A2:M2"/>
    <mergeCell ref="A3:M3"/>
    <mergeCell ref="A4:M4"/>
    <mergeCell ref="A5:M5"/>
    <mergeCell ref="A8:M8"/>
    <mergeCell ref="I10:M10"/>
    <mergeCell ref="A31:M31"/>
    <mergeCell ref="A59:M59"/>
    <mergeCell ref="F61:I61"/>
    <mergeCell ref="A67:M67"/>
    <mergeCell ref="A69:M69"/>
  </mergeCells>
  <hyperlinks>
    <hyperlink ref="A4" r:id="rId1" display="www.vernondowns.com"/>
  </hyperlinks>
  <printOptions horizontalCentered="1"/>
  <pageMargins left="0.25" right="0.25" top="0.75" bottom="0.5" header="0.5" footer="0.5"/>
  <pageSetup fitToHeight="1" fitToWidth="1" horizontalDpi="600" verticalDpi="600" orientation="portrait" scale="71"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A28" sqref="A28"/>
    </sheetView>
  </sheetViews>
  <sheetFormatPr defaultColWidth="9.140625" defaultRowHeight="12.75"/>
  <cols>
    <col min="1" max="1" width="9.28125" style="3" customWidth="1"/>
    <col min="2" max="2" width="14.140625" style="16" customWidth="1"/>
    <col min="3" max="3" width="13.57421875" style="16" customWidth="1"/>
    <col min="4" max="4" width="14.140625" style="16" customWidth="1"/>
    <col min="5" max="5" width="12.7109375" style="16" customWidth="1"/>
    <col min="6" max="6" width="8.57421875" style="17" customWidth="1"/>
    <col min="7" max="7" width="9.57421875" style="16" customWidth="1"/>
    <col min="8" max="8" width="1.421875" style="16" customWidth="1"/>
    <col min="9" max="9" width="13.00390625" style="16" customWidth="1"/>
    <col min="10" max="10" width="12.7109375" style="16" customWidth="1"/>
    <col min="11" max="12" width="12.8515625" style="16" bestFit="1" customWidth="1"/>
    <col min="13" max="13" width="11.28125" style="16" customWidth="1"/>
    <col min="14" max="14" width="12.7109375" style="0" customWidth="1"/>
  </cols>
  <sheetData>
    <row r="1" spans="1:13" ht="18">
      <c r="A1" s="77" t="s">
        <v>52</v>
      </c>
      <c r="B1" s="77"/>
      <c r="C1" s="77"/>
      <c r="D1" s="77"/>
      <c r="E1" s="77"/>
      <c r="F1" s="77"/>
      <c r="G1" s="77"/>
      <c r="H1" s="77"/>
      <c r="I1" s="77"/>
      <c r="J1" s="77"/>
      <c r="K1" s="77"/>
      <c r="L1" s="77"/>
      <c r="M1" s="77"/>
    </row>
    <row r="2" spans="1:13" ht="15">
      <c r="A2" s="78" t="s">
        <v>0</v>
      </c>
      <c r="B2" s="78"/>
      <c r="C2" s="78"/>
      <c r="D2" s="78"/>
      <c r="E2" s="78"/>
      <c r="F2" s="78"/>
      <c r="G2" s="78"/>
      <c r="H2" s="78"/>
      <c r="I2" s="78"/>
      <c r="J2" s="78"/>
      <c r="K2" s="78"/>
      <c r="L2" s="78"/>
      <c r="M2" s="78"/>
    </row>
    <row r="3" spans="1:13" s="1" customFormat="1" ht="15">
      <c r="A3" s="78" t="s">
        <v>1</v>
      </c>
      <c r="B3" s="78"/>
      <c r="C3" s="78"/>
      <c r="D3" s="78"/>
      <c r="E3" s="78"/>
      <c r="F3" s="78"/>
      <c r="G3" s="78"/>
      <c r="H3" s="78"/>
      <c r="I3" s="78"/>
      <c r="J3" s="78"/>
      <c r="K3" s="78"/>
      <c r="L3" s="78"/>
      <c r="M3" s="78"/>
    </row>
    <row r="4" spans="1:13" s="1" customFormat="1" ht="14.25" customHeight="1">
      <c r="A4" s="79" t="s">
        <v>2</v>
      </c>
      <c r="B4" s="79"/>
      <c r="C4" s="79"/>
      <c r="D4" s="79"/>
      <c r="E4" s="79"/>
      <c r="F4" s="79"/>
      <c r="G4" s="79"/>
      <c r="H4" s="79"/>
      <c r="I4" s="79"/>
      <c r="J4" s="79"/>
      <c r="K4" s="79"/>
      <c r="L4" s="79"/>
      <c r="M4" s="79"/>
    </row>
    <row r="5" spans="1:13" s="1" customFormat="1" ht="14.25">
      <c r="A5" s="80" t="s">
        <v>84</v>
      </c>
      <c r="B5" s="80"/>
      <c r="C5" s="80"/>
      <c r="D5" s="80"/>
      <c r="E5" s="80"/>
      <c r="F5" s="80"/>
      <c r="G5" s="80"/>
      <c r="H5" s="80"/>
      <c r="I5" s="80"/>
      <c r="J5" s="80"/>
      <c r="K5" s="80"/>
      <c r="L5" s="80"/>
      <c r="M5" s="80"/>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81" t="s">
        <v>97</v>
      </c>
      <c r="B8" s="82"/>
      <c r="C8" s="82"/>
      <c r="D8" s="82"/>
      <c r="E8" s="82"/>
      <c r="F8" s="82"/>
      <c r="G8" s="82"/>
      <c r="H8" s="82"/>
      <c r="I8" s="82"/>
      <c r="J8" s="82"/>
      <c r="K8" s="82"/>
      <c r="L8" s="82"/>
      <c r="M8" s="88"/>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83" t="s">
        <v>5</v>
      </c>
      <c r="J10" s="83"/>
      <c r="K10" s="83"/>
      <c r="L10" s="83"/>
      <c r="M10" s="83"/>
    </row>
    <row r="11" spans="1:13" s="1" customFormat="1" ht="12.75">
      <c r="A11" s="3"/>
      <c r="B11" s="5"/>
      <c r="C11" s="5"/>
      <c r="D11" s="5"/>
      <c r="E11" s="5"/>
      <c r="F11" s="6"/>
      <c r="G11" s="5"/>
      <c r="H11" s="5"/>
      <c r="I11" s="5"/>
      <c r="J11" s="5"/>
      <c r="K11" s="5"/>
      <c r="L11" s="5"/>
      <c r="M11" s="5"/>
    </row>
    <row r="12" spans="1:13" s="12" customFormat="1" ht="12">
      <c r="A12" s="9"/>
      <c r="B12" s="10" t="s">
        <v>6</v>
      </c>
      <c r="C12" s="10" t="s">
        <v>65</v>
      </c>
      <c r="D12" s="10" t="s">
        <v>6</v>
      </c>
      <c r="E12" s="10"/>
      <c r="F12" s="11" t="s">
        <v>7</v>
      </c>
      <c r="G12" s="10" t="s">
        <v>8</v>
      </c>
      <c r="H12" s="10"/>
      <c r="I12" s="10" t="s">
        <v>9</v>
      </c>
      <c r="J12" s="10" t="s">
        <v>73</v>
      </c>
      <c r="K12" s="10" t="s">
        <v>10</v>
      </c>
      <c r="L12" s="10" t="s">
        <v>74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75</v>
      </c>
      <c r="M13" s="8" t="s">
        <v>46</v>
      </c>
    </row>
    <row r="15" spans="1:13" ht="12.75">
      <c r="A15" s="3">
        <v>42095</v>
      </c>
      <c r="B15" s="16">
        <v>47955423.37</v>
      </c>
      <c r="C15" s="16">
        <v>505516.82</v>
      </c>
      <c r="D15" s="16">
        <f aca="true" t="shared" si="0" ref="D15:D26">+B15-C15-E15</f>
        <v>43701241.25</v>
      </c>
      <c r="E15" s="16">
        <v>3748665.3</v>
      </c>
      <c r="F15" s="17">
        <v>767</v>
      </c>
      <c r="G15" s="16">
        <f>E15/F15/30</f>
        <v>162.9146153846154</v>
      </c>
      <c r="I15" s="16">
        <v>1312032.86</v>
      </c>
      <c r="J15" s="16">
        <v>1536952.76</v>
      </c>
      <c r="K15" s="16">
        <v>374866.54</v>
      </c>
      <c r="L15" s="16">
        <v>374866.54</v>
      </c>
      <c r="M15" s="16">
        <v>149946.63</v>
      </c>
    </row>
    <row r="16" spans="1:13" ht="12.75">
      <c r="A16" s="3">
        <v>42125</v>
      </c>
      <c r="B16" s="16">
        <v>51579035.47</v>
      </c>
      <c r="C16" s="16">
        <v>619007.56</v>
      </c>
      <c r="D16" s="16">
        <f t="shared" si="0"/>
        <v>47060541.589999996</v>
      </c>
      <c r="E16" s="16">
        <v>3899486.32</v>
      </c>
      <c r="F16" s="17">
        <v>767</v>
      </c>
      <c r="G16" s="16">
        <f>E16/F16/31</f>
        <v>164.00245279051182</v>
      </c>
      <c r="I16" s="16">
        <v>1364820.22</v>
      </c>
      <c r="J16" s="16">
        <v>1598789.41</v>
      </c>
      <c r="K16" s="16">
        <v>389948.67</v>
      </c>
      <c r="L16" s="16">
        <v>389948.67</v>
      </c>
      <c r="M16" s="16">
        <v>155979.43</v>
      </c>
    </row>
    <row r="17" spans="1:13" ht="12.75">
      <c r="A17" s="3">
        <v>42156</v>
      </c>
      <c r="B17" s="16">
        <v>42812042.09</v>
      </c>
      <c r="C17" s="16">
        <v>483792.43</v>
      </c>
      <c r="D17" s="16">
        <f t="shared" si="0"/>
        <v>39102296.89</v>
      </c>
      <c r="E17" s="16">
        <v>3225952.77</v>
      </c>
      <c r="F17" s="17">
        <v>767</v>
      </c>
      <c r="G17" s="16">
        <f>E17/F17/30</f>
        <v>140.19786049543674</v>
      </c>
      <c r="I17" s="16">
        <v>1129083.49</v>
      </c>
      <c r="J17" s="16">
        <v>1322640.67</v>
      </c>
      <c r="K17" s="16">
        <v>322595.29</v>
      </c>
      <c r="L17" s="16">
        <v>322595.29</v>
      </c>
      <c r="M17" s="16">
        <v>129038.13</v>
      </c>
    </row>
    <row r="18" spans="1:13" ht="12.75">
      <c r="A18" s="3">
        <v>42186</v>
      </c>
      <c r="B18" s="16">
        <v>47117756.64</v>
      </c>
      <c r="C18" s="16">
        <v>515922.55</v>
      </c>
      <c r="D18" s="16">
        <f t="shared" si="0"/>
        <v>43082588</v>
      </c>
      <c r="E18" s="16">
        <v>3519246.09</v>
      </c>
      <c r="F18" s="17">
        <v>767</v>
      </c>
      <c r="G18" s="16">
        <f>E18/F18/31</f>
        <v>148.0105181477899</v>
      </c>
      <c r="I18" s="16">
        <v>1231736.13</v>
      </c>
      <c r="J18" s="16">
        <v>1442890.9</v>
      </c>
      <c r="K18" s="16">
        <v>351924.62</v>
      </c>
      <c r="L18" s="16">
        <v>351924.62</v>
      </c>
      <c r="M18" s="16">
        <v>140769.85</v>
      </c>
    </row>
    <row r="19" spans="1:13" ht="12.75">
      <c r="A19" s="3">
        <v>42217</v>
      </c>
      <c r="B19" s="16">
        <v>44492680.84</v>
      </c>
      <c r="C19" s="16">
        <v>508415.54</v>
      </c>
      <c r="D19" s="16">
        <f t="shared" si="0"/>
        <v>40535620.830000006</v>
      </c>
      <c r="E19" s="16">
        <v>3448644.47</v>
      </c>
      <c r="F19" s="17">
        <v>767</v>
      </c>
      <c r="G19" s="16">
        <f>E19/F19/31</f>
        <v>145.04119401101906</v>
      </c>
      <c r="I19" s="16">
        <v>1207025.56</v>
      </c>
      <c r="J19" s="16">
        <v>1413944.24</v>
      </c>
      <c r="K19" s="16">
        <v>344864.49</v>
      </c>
      <c r="L19" s="16">
        <v>344864.49</v>
      </c>
      <c r="M19" s="16">
        <v>137945.76</v>
      </c>
    </row>
    <row r="20" spans="1:13" ht="12.75">
      <c r="A20" s="3">
        <v>42248</v>
      </c>
      <c r="B20" s="16">
        <v>40729057.73</v>
      </c>
      <c r="C20" s="16">
        <v>476866.86</v>
      </c>
      <c r="D20" s="16">
        <f t="shared" si="0"/>
        <v>37217095.919999994</v>
      </c>
      <c r="E20" s="16">
        <v>3035094.95</v>
      </c>
      <c r="F20" s="17">
        <v>767</v>
      </c>
      <c r="G20" s="16">
        <f>E20/F20/30</f>
        <v>131.9033007388092</v>
      </c>
      <c r="I20" s="16">
        <v>1062283.24</v>
      </c>
      <c r="J20" s="16">
        <v>1244388.92</v>
      </c>
      <c r="K20" s="16">
        <v>303509.52</v>
      </c>
      <c r="L20" s="16">
        <v>303509.51</v>
      </c>
      <c r="M20" s="16">
        <v>121403.8</v>
      </c>
    </row>
    <row r="21" spans="1:13" ht="12.75">
      <c r="A21" s="3">
        <v>42278</v>
      </c>
      <c r="B21" s="16">
        <v>40466057.97</v>
      </c>
      <c r="C21" s="16">
        <v>481297.39</v>
      </c>
      <c r="D21" s="16">
        <f t="shared" si="0"/>
        <v>36974484.53</v>
      </c>
      <c r="E21" s="16">
        <v>3010276.05</v>
      </c>
      <c r="F21" s="17">
        <v>767</v>
      </c>
      <c r="G21" s="16">
        <f>E21/F21/31</f>
        <v>126.60453589603398</v>
      </c>
      <c r="I21" s="16">
        <v>1053596.63</v>
      </c>
      <c r="J21" s="16">
        <v>1234213.16</v>
      </c>
      <c r="K21" s="16">
        <v>301027.62</v>
      </c>
      <c r="L21" s="16">
        <v>301027.62</v>
      </c>
      <c r="M21" s="16">
        <v>120411.03</v>
      </c>
    </row>
    <row r="22" spans="1:13" ht="12.75">
      <c r="A22" s="3">
        <v>42309</v>
      </c>
      <c r="B22" s="16">
        <v>40854278.59</v>
      </c>
      <c r="C22" s="16">
        <v>554108.13</v>
      </c>
      <c r="D22" s="16">
        <f t="shared" si="0"/>
        <v>37277131.78</v>
      </c>
      <c r="E22" s="16">
        <v>3023038.68</v>
      </c>
      <c r="F22" s="17">
        <v>767</v>
      </c>
      <c r="G22" s="16">
        <f>E22/F22/30</f>
        <v>131.37934289439374</v>
      </c>
      <c r="I22" s="16">
        <v>1058063.54</v>
      </c>
      <c r="J22" s="16">
        <v>1239445.87</v>
      </c>
      <c r="K22" s="16">
        <v>302303.89</v>
      </c>
      <c r="L22" s="16">
        <v>302303.89</v>
      </c>
      <c r="M22" s="16">
        <v>120921.54</v>
      </c>
    </row>
    <row r="23" spans="1:13" ht="12.75">
      <c r="A23" s="3">
        <v>42339</v>
      </c>
      <c r="B23" s="16">
        <v>39271620.68</v>
      </c>
      <c r="C23" s="16">
        <v>506072.55</v>
      </c>
      <c r="D23" s="16">
        <f t="shared" si="0"/>
        <v>35820733.800000004</v>
      </c>
      <c r="E23" s="16">
        <v>2944814.33</v>
      </c>
      <c r="F23" s="17">
        <v>767</v>
      </c>
      <c r="G23" s="16">
        <f>E23/F23/31</f>
        <v>123.8513828489717</v>
      </c>
      <c r="I23" s="16">
        <v>1030685.05</v>
      </c>
      <c r="J23" s="16">
        <v>1207373.87</v>
      </c>
      <c r="K23" s="16">
        <v>294481.47</v>
      </c>
      <c r="L23" s="16">
        <v>294481.47</v>
      </c>
      <c r="M23" s="16">
        <v>117792.57</v>
      </c>
    </row>
    <row r="24" spans="1:13" ht="12.75">
      <c r="A24" s="3">
        <v>42370</v>
      </c>
      <c r="B24" s="16">
        <v>38045320.03</v>
      </c>
      <c r="C24" s="16">
        <v>527295.95</v>
      </c>
      <c r="D24" s="16">
        <f t="shared" si="0"/>
        <v>34706020.75</v>
      </c>
      <c r="E24" s="16">
        <v>2812003.33</v>
      </c>
      <c r="F24" s="17">
        <v>767</v>
      </c>
      <c r="G24" s="16">
        <f>E24/F24/31</f>
        <v>118.26569079362409</v>
      </c>
      <c r="I24" s="16">
        <v>984201.19</v>
      </c>
      <c r="J24" s="16">
        <v>1152921.37</v>
      </c>
      <c r="K24" s="16">
        <v>281200.34</v>
      </c>
      <c r="L24" s="16">
        <v>281200.33</v>
      </c>
      <c r="M24" s="16">
        <v>112480.13</v>
      </c>
    </row>
    <row r="25" spans="1:13" ht="12.75">
      <c r="A25" s="3">
        <v>42401</v>
      </c>
      <c r="B25" s="16">
        <v>36540193.55</v>
      </c>
      <c r="C25" s="16">
        <v>407038.77</v>
      </c>
      <c r="D25" s="16">
        <f t="shared" si="0"/>
        <v>33380706.619999994</v>
      </c>
      <c r="E25" s="16">
        <v>2752448.16</v>
      </c>
      <c r="F25" s="17">
        <v>767</v>
      </c>
      <c r="G25" s="16">
        <f>E25/F25/29</f>
        <v>123.7444661241739</v>
      </c>
      <c r="I25" s="16">
        <v>963356.87</v>
      </c>
      <c r="J25" s="16">
        <v>1128503.75</v>
      </c>
      <c r="K25" s="16">
        <v>275244.83</v>
      </c>
      <c r="L25" s="16">
        <v>275244.83</v>
      </c>
      <c r="M25" s="16">
        <v>110097.9</v>
      </c>
    </row>
    <row r="26" spans="1:13" ht="12.75">
      <c r="A26" s="3">
        <v>42430</v>
      </c>
      <c r="B26" s="16">
        <v>41959233.15</v>
      </c>
      <c r="C26" s="16">
        <v>478806.38</v>
      </c>
      <c r="D26" s="16">
        <f t="shared" si="0"/>
        <v>38306098.51</v>
      </c>
      <c r="E26" s="16">
        <v>3174328.26</v>
      </c>
      <c r="F26" s="17">
        <v>767</v>
      </c>
      <c r="G26" s="16">
        <f>E26/F26/31</f>
        <v>133.50415359380912</v>
      </c>
      <c r="I26" s="16">
        <v>1111014.91</v>
      </c>
      <c r="J26" s="16">
        <v>1301474.6</v>
      </c>
      <c r="K26" s="16">
        <v>317432.84</v>
      </c>
      <c r="L26" s="16">
        <v>317432.83</v>
      </c>
      <c r="M26" s="16">
        <v>126973.15</v>
      </c>
    </row>
    <row r="27" spans="1:13" ht="13.5" thickBot="1">
      <c r="A27" s="3" t="s">
        <v>20</v>
      </c>
      <c r="B27" s="18">
        <f>SUM(B15:B26)</f>
        <v>511822700.1100001</v>
      </c>
      <c r="C27" s="18">
        <f>SUM(C15:C26)</f>
        <v>6064140.930000001</v>
      </c>
      <c r="D27" s="18">
        <f>SUM(D15:D26)</f>
        <v>467164560.46999997</v>
      </c>
      <c r="E27" s="59">
        <f>SUM(E15:E26)</f>
        <v>38593998.71</v>
      </c>
      <c r="I27" s="18">
        <f>SUM(I15:I26)</f>
        <v>13507899.69</v>
      </c>
      <c r="J27" s="18">
        <f>SUM(J15:J26)</f>
        <v>15823539.520000001</v>
      </c>
      <c r="K27" s="18">
        <f>SUM(K15:K26)</f>
        <v>3859400.12</v>
      </c>
      <c r="L27" s="18">
        <f>SUM(L15:L26)</f>
        <v>3859400.090000001</v>
      </c>
      <c r="M27" s="18">
        <f>SUM(M15:M26)</f>
        <v>1543759.92</v>
      </c>
    </row>
    <row r="28" spans="2:13" ht="10.5" customHeight="1" thickTop="1">
      <c r="B28" s="19"/>
      <c r="C28" s="19"/>
      <c r="D28" s="19"/>
      <c r="E28" s="19"/>
      <c r="I28" s="19"/>
      <c r="J28" s="19"/>
      <c r="K28" s="19"/>
      <c r="L28" s="19"/>
      <c r="M28" s="19"/>
    </row>
    <row r="29" spans="1:13" s="22" customFormat="1" ht="12.75">
      <c r="A29" s="20"/>
      <c r="B29" s="21"/>
      <c r="C29" s="21">
        <f>C27/B27</f>
        <v>0.011848128128542766</v>
      </c>
      <c r="D29" s="21">
        <f>D27/B27</f>
        <v>0.9127468562250126</v>
      </c>
      <c r="E29" s="21">
        <f>E27/B27</f>
        <v>0.07540501564644445</v>
      </c>
      <c r="I29" s="21">
        <f>I27/$E$27</f>
        <v>0.3500000036663731</v>
      </c>
      <c r="J29" s="21">
        <f>J27/$E$27</f>
        <v>0.4100000012670364</v>
      </c>
      <c r="K29" s="21">
        <f>K27/$E$27</f>
        <v>0.10000000645178028</v>
      </c>
      <c r="L29" s="21">
        <f>L27/$E$27</f>
        <v>0.10000000567445738</v>
      </c>
      <c r="M29" s="21">
        <f>M27/$E$27</f>
        <v>0.03999999926413429</v>
      </c>
    </row>
    <row r="31" spans="1:13" s="23" customFormat="1" ht="12.75">
      <c r="A31" s="81" t="s">
        <v>21</v>
      </c>
      <c r="B31" s="82"/>
      <c r="C31" s="82"/>
      <c r="D31" s="82"/>
      <c r="E31" s="82"/>
      <c r="F31" s="82"/>
      <c r="G31" s="82"/>
      <c r="H31" s="82"/>
      <c r="I31" s="82"/>
      <c r="J31" s="82"/>
      <c r="K31" s="82"/>
      <c r="L31" s="82"/>
      <c r="M31" s="88"/>
    </row>
    <row r="32" ht="12.75">
      <c r="A32" s="24"/>
    </row>
    <row r="33" spans="1:12" s="45" customFormat="1" ht="12.75" customHeight="1">
      <c r="A33" s="41" t="s">
        <v>22</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79</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23</v>
      </c>
      <c r="B38" s="42"/>
      <c r="C38" s="43" t="s">
        <v>94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25</v>
      </c>
      <c r="B40" s="42"/>
      <c r="C40" s="42" t="s">
        <v>55</v>
      </c>
      <c r="E40" s="46"/>
      <c r="F40" s="47"/>
      <c r="G40" s="42"/>
      <c r="H40" s="42"/>
      <c r="I40" s="42"/>
      <c r="J40" s="42"/>
      <c r="K40" s="42"/>
      <c r="L40" s="42"/>
      <c r="M40" s="42"/>
    </row>
    <row r="41" spans="1:13" s="45" customFormat="1" ht="12.75">
      <c r="A41" s="41"/>
      <c r="B41" s="42"/>
      <c r="C41" s="42" t="s">
        <v>56</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28</v>
      </c>
      <c r="B43" s="42"/>
      <c r="C43" s="42" t="s">
        <v>29</v>
      </c>
      <c r="E43" s="46"/>
      <c r="F43" s="47"/>
      <c r="G43" s="42"/>
      <c r="H43" s="42"/>
      <c r="I43" s="42"/>
      <c r="J43" s="42"/>
      <c r="K43" s="42"/>
      <c r="L43" s="42"/>
      <c r="M43" s="42"/>
    </row>
    <row r="44" spans="1:13" s="45" customFormat="1" ht="6" customHeight="1">
      <c r="A44" s="41"/>
      <c r="B44" s="42"/>
      <c r="C44" s="42"/>
      <c r="D44" s="42"/>
      <c r="E44" s="46"/>
      <c r="F44" s="47"/>
      <c r="G44" s="42"/>
      <c r="H44" s="42"/>
      <c r="I44" s="42"/>
      <c r="J44" s="42"/>
      <c r="K44" s="42"/>
      <c r="L44" s="42"/>
      <c r="M44" s="42"/>
    </row>
    <row r="45" spans="1:12" s="45" customFormat="1" ht="12.75">
      <c r="A45" s="41" t="s">
        <v>68</v>
      </c>
      <c r="B45" s="42"/>
      <c r="C45" s="42" t="s">
        <v>69</v>
      </c>
      <c r="D45" s="46"/>
      <c r="E45" s="47"/>
      <c r="F45" s="42"/>
      <c r="G45" s="42"/>
      <c r="H45" s="42"/>
      <c r="I45" s="42"/>
      <c r="J45" s="42"/>
      <c r="K45" s="42"/>
      <c r="L45" s="42"/>
    </row>
    <row r="46" spans="1:12" s="45" customFormat="1" ht="12.75">
      <c r="A46" s="41"/>
      <c r="B46" s="42"/>
      <c r="C46" s="42" t="s">
        <v>76</v>
      </c>
      <c r="D46" s="46"/>
      <c r="E46" s="47"/>
      <c r="F46" s="42"/>
      <c r="G46" s="42"/>
      <c r="H46" s="42"/>
      <c r="I46" s="42"/>
      <c r="J46" s="42"/>
      <c r="K46" s="42"/>
      <c r="L46" s="42"/>
    </row>
    <row r="47" spans="1:12" s="45" customFormat="1" ht="12.75">
      <c r="A47" s="41"/>
      <c r="B47" s="42"/>
      <c r="C47" s="42" t="s">
        <v>77</v>
      </c>
      <c r="D47" s="46"/>
      <c r="E47" s="47"/>
      <c r="F47" s="42"/>
      <c r="G47" s="42"/>
      <c r="H47" s="42"/>
      <c r="I47" s="42"/>
      <c r="J47" s="42"/>
      <c r="K47" s="42"/>
      <c r="L47" s="42"/>
    </row>
    <row r="48" spans="1:13" s="45" customFormat="1" ht="6" customHeight="1">
      <c r="A48" s="41"/>
      <c r="B48" s="42"/>
      <c r="C48" s="42"/>
      <c r="D48" s="42"/>
      <c r="E48" s="46"/>
      <c r="F48" s="47"/>
      <c r="G48" s="42"/>
      <c r="H48" s="42"/>
      <c r="I48" s="42"/>
      <c r="J48" s="42"/>
      <c r="K48" s="42"/>
      <c r="L48" s="42"/>
      <c r="M48" s="42"/>
    </row>
    <row r="49" spans="1:12" s="45" customFormat="1" ht="12.75">
      <c r="A49" s="41" t="s">
        <v>30</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3" s="45" customFormat="1" ht="6" customHeight="1">
      <c r="A51" s="41"/>
      <c r="B51" s="42"/>
      <c r="C51" s="42"/>
      <c r="D51" s="42"/>
      <c r="E51" s="46"/>
      <c r="F51" s="47"/>
      <c r="G51" s="42"/>
      <c r="H51" s="42"/>
      <c r="I51" s="42"/>
      <c r="J51" s="42"/>
      <c r="K51" s="42"/>
      <c r="L51" s="42"/>
      <c r="M51" s="42"/>
    </row>
    <row r="52" spans="1:12" s="45" customFormat="1" ht="12.75">
      <c r="A52" s="41" t="s">
        <v>78</v>
      </c>
      <c r="B52" s="42"/>
      <c r="C52" s="42" t="s">
        <v>71</v>
      </c>
      <c r="D52" s="46"/>
      <c r="E52" s="47"/>
      <c r="F52" s="42"/>
      <c r="G52" s="42"/>
      <c r="H52" s="42"/>
      <c r="I52" s="42"/>
      <c r="J52" s="42"/>
      <c r="K52" s="42"/>
      <c r="L52" s="42"/>
    </row>
    <row r="53" spans="1:12" s="45" customFormat="1" ht="12.75">
      <c r="A53" s="48"/>
      <c r="B53" s="42"/>
      <c r="C53" s="42" t="s">
        <v>72</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47</v>
      </c>
      <c r="B55" s="42"/>
      <c r="C55" s="42" t="s">
        <v>57</v>
      </c>
      <c r="E55" s="46"/>
      <c r="F55" s="47"/>
      <c r="G55" s="42"/>
      <c r="H55" s="42"/>
      <c r="I55" s="42"/>
      <c r="J55" s="42"/>
      <c r="K55" s="42"/>
      <c r="L55" s="42"/>
      <c r="M55" s="46"/>
    </row>
    <row r="56" spans="1:13" s="45" customFormat="1" ht="12.75">
      <c r="A56" s="48"/>
      <c r="B56" s="42"/>
      <c r="C56" s="42" t="s">
        <v>58</v>
      </c>
      <c r="E56" s="46"/>
      <c r="F56" s="47"/>
      <c r="G56" s="42"/>
      <c r="H56" s="42"/>
      <c r="I56" s="42"/>
      <c r="J56" s="42"/>
      <c r="K56" s="42"/>
      <c r="L56" s="42"/>
      <c r="M56" s="46"/>
    </row>
    <row r="57" spans="1:13" s="45" customFormat="1" ht="12.75">
      <c r="A57" s="48"/>
      <c r="B57" s="42"/>
      <c r="C57" s="42" t="s">
        <v>59</v>
      </c>
      <c r="E57" s="46"/>
      <c r="F57" s="47"/>
      <c r="G57" s="42"/>
      <c r="H57" s="42"/>
      <c r="I57" s="42"/>
      <c r="J57" s="42"/>
      <c r="K57" s="42"/>
      <c r="L57" s="42"/>
      <c r="M57" s="46"/>
    </row>
    <row r="58" spans="1:12" ht="12.75">
      <c r="A58" s="28"/>
      <c r="B58" s="26"/>
      <c r="C58" s="26"/>
      <c r="D58" s="26"/>
      <c r="F58" s="27"/>
      <c r="G58" s="26"/>
      <c r="H58" s="26"/>
      <c r="I58" s="26"/>
      <c r="J58" s="26"/>
      <c r="K58" s="26"/>
      <c r="L58" s="26"/>
    </row>
    <row r="59" spans="1:13" ht="12.75">
      <c r="A59" s="81" t="s">
        <v>31</v>
      </c>
      <c r="B59" s="82"/>
      <c r="C59" s="82"/>
      <c r="D59" s="82"/>
      <c r="E59" s="82"/>
      <c r="F59" s="82"/>
      <c r="G59" s="82"/>
      <c r="H59" s="82"/>
      <c r="I59" s="82"/>
      <c r="J59" s="82"/>
      <c r="K59" s="82"/>
      <c r="L59" s="82"/>
      <c r="M59" s="88"/>
    </row>
    <row r="60" ht="12.75">
      <c r="A60" s="24"/>
    </row>
    <row r="61" spans="1:13" ht="13.5">
      <c r="A61" s="32"/>
      <c r="E61" s="10" t="s">
        <v>9</v>
      </c>
      <c r="F61" s="83" t="s">
        <v>83</v>
      </c>
      <c r="G61" s="83"/>
      <c r="H61" s="83"/>
      <c r="I61" s="83"/>
      <c r="J61" s="10" t="s">
        <v>10</v>
      </c>
      <c r="K61" s="53" t="s">
        <v>74</v>
      </c>
      <c r="L61" s="10" t="s">
        <v>45</v>
      </c>
      <c r="M61" s="34"/>
    </row>
    <row r="62" spans="1:13" ht="12.75">
      <c r="A62" s="35"/>
      <c r="E62" s="8" t="s">
        <v>17</v>
      </c>
      <c r="F62" s="8" t="s">
        <v>80</v>
      </c>
      <c r="G62" s="57" t="s">
        <v>81</v>
      </c>
      <c r="H62" s="36"/>
      <c r="I62" s="8" t="s">
        <v>82</v>
      </c>
      <c r="J62" s="8" t="s">
        <v>19</v>
      </c>
      <c r="K62" s="54" t="s">
        <v>75</v>
      </c>
      <c r="L62" s="8" t="s">
        <v>46</v>
      </c>
      <c r="M62" s="34"/>
    </row>
    <row r="63" spans="2:13" ht="12.75">
      <c r="B63" s="37" t="s">
        <v>50</v>
      </c>
      <c r="C63" s="37"/>
      <c r="D63" s="37"/>
      <c r="E63" s="55">
        <v>0.35</v>
      </c>
      <c r="F63" s="55">
        <v>0.31</v>
      </c>
      <c r="G63" s="58">
        <v>0.0875</v>
      </c>
      <c r="H63" s="56"/>
      <c r="I63" s="55">
        <v>0.0125</v>
      </c>
      <c r="J63" s="55">
        <v>0.1</v>
      </c>
      <c r="K63" s="55">
        <v>0.1</v>
      </c>
      <c r="L63" s="55">
        <v>0.04</v>
      </c>
      <c r="M63" s="39"/>
    </row>
    <row r="64" spans="2:13" ht="12.75">
      <c r="B64" s="37" t="s">
        <v>51</v>
      </c>
      <c r="C64" s="37"/>
      <c r="D64" s="37"/>
      <c r="E64" s="55">
        <v>0.39</v>
      </c>
      <c r="F64" s="55">
        <v>0.31</v>
      </c>
      <c r="G64" s="58">
        <v>0.0875</v>
      </c>
      <c r="H64" s="56"/>
      <c r="I64" s="55">
        <v>0.0125</v>
      </c>
      <c r="J64" s="55">
        <v>0.1</v>
      </c>
      <c r="K64" s="55">
        <v>0.1</v>
      </c>
      <c r="L64" s="55">
        <v>0</v>
      </c>
      <c r="M64" s="39"/>
    </row>
    <row r="65" spans="1:13" s="23" customFormat="1" ht="12.75">
      <c r="A65" s="3"/>
      <c r="B65" s="37" t="s">
        <v>48</v>
      </c>
      <c r="C65" s="37"/>
      <c r="D65" s="37"/>
      <c r="E65" s="55">
        <v>0.41</v>
      </c>
      <c r="F65" s="55">
        <v>0.31</v>
      </c>
      <c r="G65" s="58">
        <v>0.0875</v>
      </c>
      <c r="H65" s="56"/>
      <c r="I65" s="55">
        <v>0.0125</v>
      </c>
      <c r="J65" s="55">
        <v>0.08</v>
      </c>
      <c r="K65" s="55">
        <v>0.1</v>
      </c>
      <c r="L65" s="55">
        <v>0</v>
      </c>
      <c r="M65" s="39"/>
    </row>
    <row r="66" spans="1:13" s="23" customFormat="1" ht="12.75">
      <c r="A66" s="3"/>
      <c r="B66" s="37"/>
      <c r="C66" s="37"/>
      <c r="D66" s="37"/>
      <c r="E66" s="26"/>
      <c r="F66" s="27"/>
      <c r="G66" s="38"/>
      <c r="H66" s="26"/>
      <c r="I66" s="38"/>
      <c r="J66" s="38"/>
      <c r="K66" s="38"/>
      <c r="L66" s="38"/>
      <c r="M66" s="39"/>
    </row>
    <row r="67" spans="1:13" ht="12.75">
      <c r="A67" s="84" t="s">
        <v>39</v>
      </c>
      <c r="B67" s="85"/>
      <c r="C67" s="85"/>
      <c r="D67" s="85"/>
      <c r="E67" s="85"/>
      <c r="F67" s="85"/>
      <c r="G67" s="85"/>
      <c r="H67" s="85"/>
      <c r="I67" s="85"/>
      <c r="J67" s="85"/>
      <c r="K67" s="85"/>
      <c r="L67" s="85"/>
      <c r="M67" s="89"/>
    </row>
    <row r="68" spans="1:6" ht="9.75" customHeight="1">
      <c r="A68" s="24"/>
      <c r="E68"/>
      <c r="F68" s="16"/>
    </row>
    <row r="69" spans="1:13" ht="54" customHeight="1">
      <c r="A69" s="86" t="s">
        <v>99</v>
      </c>
      <c r="B69" s="87"/>
      <c r="C69" s="87"/>
      <c r="D69" s="87"/>
      <c r="E69" s="87"/>
      <c r="F69" s="87"/>
      <c r="G69" s="87"/>
      <c r="H69" s="87"/>
      <c r="I69" s="87"/>
      <c r="J69" s="87"/>
      <c r="K69" s="87"/>
      <c r="L69" s="87"/>
      <c r="M69" s="87"/>
    </row>
    <row r="70" spans="1:6" ht="12.75">
      <c r="A70" s="16"/>
      <c r="E70"/>
      <c r="F70" s="16"/>
    </row>
    <row r="71" spans="2:5" ht="12.75">
      <c r="B71" s="24" t="s">
        <v>40</v>
      </c>
      <c r="C71" s="24"/>
      <c r="D71" s="24"/>
      <c r="E71" s="16">
        <v>137103</v>
      </c>
    </row>
    <row r="72" spans="2:5" ht="12.75">
      <c r="B72" s="24" t="s">
        <v>41</v>
      </c>
      <c r="C72" s="24"/>
      <c r="D72" s="24"/>
      <c r="E72" s="16">
        <v>231788</v>
      </c>
    </row>
    <row r="73" spans="2:5" ht="12.75">
      <c r="B73" s="16" t="s">
        <v>42</v>
      </c>
      <c r="E73" s="16">
        <v>256796</v>
      </c>
    </row>
    <row r="74" ht="7.5" customHeight="1">
      <c r="E74" s="16" t="s">
        <v>36</v>
      </c>
    </row>
    <row r="76" ht="12.75">
      <c r="A76" s="28" t="s">
        <v>91</v>
      </c>
    </row>
  </sheetData>
  <sheetProtection/>
  <mergeCells count="12">
    <mergeCell ref="A1:M1"/>
    <mergeCell ref="A2:M2"/>
    <mergeCell ref="A3:M3"/>
    <mergeCell ref="A4:M4"/>
    <mergeCell ref="A5:M5"/>
    <mergeCell ref="A8:M8"/>
    <mergeCell ref="I10:M10"/>
    <mergeCell ref="A31:M31"/>
    <mergeCell ref="A59:M59"/>
    <mergeCell ref="F61:I61"/>
    <mergeCell ref="A67:M67"/>
    <mergeCell ref="A69:M69"/>
  </mergeCells>
  <hyperlinks>
    <hyperlink ref="A4" r:id="rId1" display="www.vernondowns.com"/>
  </hyperlinks>
  <printOptions horizontalCentered="1"/>
  <pageMargins left="0.25" right="0.25" top="0.75" bottom="0.5" header="0.5" footer="0.5"/>
  <pageSetup fitToHeight="1" fitToWidth="1" horizontalDpi="600" verticalDpi="600" orientation="portrait" scale="7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Lottery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Roddy</dc:creator>
  <cp:keywords/>
  <dc:description/>
  <cp:lastModifiedBy>Day, Zachary (GAMING)</cp:lastModifiedBy>
  <cp:lastPrinted>2024-01-08T18:13:56Z</cp:lastPrinted>
  <dcterms:created xsi:type="dcterms:W3CDTF">2007-10-10T21:23:19Z</dcterms:created>
  <dcterms:modified xsi:type="dcterms:W3CDTF">2024-04-08T19:36:44Z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